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2930" windowHeight="11730" activeTab="1"/>
  </bookViews>
  <sheets>
    <sheet name="Zalozenia" sheetId="1" r:id="rId1"/>
    <sheet name="Obliczenia" sheetId="2" r:id="rId2"/>
    <sheet name="Slawek" sheetId="3" state="hidden" r:id="rId3"/>
    <sheet name="Wyliczenia.jednostkowe" sheetId="4" state="hidden" r:id="rId4"/>
  </sheets>
  <externalReferences>
    <externalReference r:id="rId5"/>
  </externalReferences>
  <calcPr calcId="114210"/>
</workbook>
</file>

<file path=xl/calcChain.xml><?xml version="1.0" encoding="utf-8"?>
<calcChain xmlns="http://schemas.openxmlformats.org/spreadsheetml/2006/main">
  <c r="F159" i="1"/>
  <c r="F160"/>
  <c r="O149"/>
  <c r="O148"/>
  <c r="N148"/>
  <c r="O147"/>
  <c r="N147"/>
  <c r="N150"/>
  <c r="O146"/>
  <c r="O150"/>
  <c r="O139"/>
  <c r="D516"/>
  <c r="F516"/>
  <c r="AP152" i="2"/>
  <c r="D515" i="1"/>
  <c r="F515"/>
  <c r="O152" i="2"/>
  <c r="D512" i="1"/>
  <c r="F512"/>
  <c r="AY152" i="2"/>
  <c r="G148" i="1"/>
  <c r="G159"/>
  <c r="G147"/>
  <c r="G158"/>
  <c r="G146"/>
  <c r="G157"/>
  <c r="G145"/>
  <c r="G156"/>
  <c r="G144"/>
  <c r="G155"/>
  <c r="G143"/>
  <c r="G154"/>
  <c r="G142"/>
  <c r="G153"/>
  <c r="G160"/>
  <c r="G129"/>
  <c r="F129"/>
  <c r="G128"/>
  <c r="F128"/>
  <c r="F126"/>
  <c r="G126"/>
  <c r="F134"/>
  <c r="O126"/>
  <c r="E168"/>
  <c r="E172"/>
  <c r="E176"/>
  <c r="E169"/>
  <c r="E173"/>
  <c r="E166"/>
  <c r="E174"/>
  <c r="E170"/>
  <c r="E167"/>
  <c r="E171"/>
  <c r="E175"/>
  <c r="H168"/>
  <c r="Q168"/>
  <c r="H170"/>
  <c r="H172"/>
  <c r="H174"/>
  <c r="H176"/>
  <c r="Q176"/>
  <c r="H178"/>
  <c r="H180"/>
  <c r="H182"/>
  <c r="H184"/>
  <c r="H186"/>
  <c r="H188"/>
  <c r="H190"/>
  <c r="H192"/>
  <c r="H194"/>
  <c r="H196"/>
  <c r="H167"/>
  <c r="H169"/>
  <c r="Q169"/>
  <c r="H171"/>
  <c r="H173"/>
  <c r="Q173"/>
  <c r="H175"/>
  <c r="H177"/>
  <c r="Q177"/>
  <c r="H179"/>
  <c r="H181"/>
  <c r="Q181"/>
  <c r="H183"/>
  <c r="H185"/>
  <c r="Q185"/>
  <c r="H187"/>
  <c r="H189"/>
  <c r="Q189"/>
  <c r="H191"/>
  <c r="H193"/>
  <c r="Q193"/>
  <c r="H195"/>
  <c r="H166"/>
  <c r="Q166"/>
  <c r="F152" i="2"/>
  <c r="O253" i="1"/>
  <c r="Q167"/>
  <c r="Q170"/>
  <c r="Q171"/>
  <c r="Q172"/>
  <c r="Q174"/>
  <c r="Q175"/>
  <c r="Q178"/>
  <c r="Q179"/>
  <c r="Q180"/>
  <c r="Q182"/>
  <c r="Q183"/>
  <c r="Q184"/>
  <c r="Q186"/>
  <c r="Q187"/>
  <c r="Q188"/>
  <c r="Q190"/>
  <c r="Q191"/>
  <c r="Q192"/>
  <c r="Q194"/>
  <c r="Q195"/>
  <c r="Q196"/>
  <c r="F573"/>
  <c r="F563"/>
  <c r="H389"/>
  <c r="H390"/>
  <c r="H391"/>
  <c r="H392"/>
  <c r="H393"/>
  <c r="H394"/>
  <c r="H395"/>
  <c r="H396"/>
  <c r="H397"/>
  <c r="H398"/>
  <c r="H399"/>
  <c r="H400"/>
  <c r="Q400"/>
  <c r="H401"/>
  <c r="Q401"/>
  <c r="H402"/>
  <c r="Q402"/>
  <c r="H403"/>
  <c r="Q403"/>
  <c r="H404"/>
  <c r="Q404"/>
  <c r="H405"/>
  <c r="Q405"/>
  <c r="H406"/>
  <c r="Q406"/>
  <c r="H407"/>
  <c r="Q407"/>
  <c r="H408"/>
  <c r="Q408"/>
  <c r="H409"/>
  <c r="Q409"/>
  <c r="H410"/>
  <c r="Q410"/>
  <c r="H411"/>
  <c r="Q411"/>
  <c r="H412"/>
  <c r="Q412"/>
  <c r="AW177" i="2"/>
  <c r="AR251"/>
  <c r="Q399" i="1"/>
  <c r="Z411"/>
  <c r="Z409"/>
  <c r="Z407"/>
  <c r="Z405"/>
  <c r="Z403"/>
  <c r="Z401"/>
  <c r="Z412"/>
  <c r="Z410"/>
  <c r="Z408"/>
  <c r="Z406"/>
  <c r="Z404"/>
  <c r="Z402"/>
  <c r="Z400"/>
  <c r="H242"/>
  <c r="H43" i="2"/>
  <c r="L459" i="1"/>
  <c r="M459"/>
  <c r="N459"/>
  <c r="O459"/>
  <c r="P459"/>
  <c r="Q459"/>
  <c r="L460"/>
  <c r="M460"/>
  <c r="N460"/>
  <c r="O460"/>
  <c r="P460"/>
  <c r="Q460"/>
  <c r="L461"/>
  <c r="M461"/>
  <c r="N461"/>
  <c r="O461"/>
  <c r="P461"/>
  <c r="Q461"/>
  <c r="L462"/>
  <c r="M462"/>
  <c r="N462"/>
  <c r="O462"/>
  <c r="P462"/>
  <c r="Q462"/>
  <c r="L463"/>
  <c r="M463"/>
  <c r="N463"/>
  <c r="O463"/>
  <c r="P463"/>
  <c r="Q463"/>
  <c r="L464"/>
  <c r="M464"/>
  <c r="N464"/>
  <c r="O464"/>
  <c r="P464"/>
  <c r="Q464"/>
  <c r="L465"/>
  <c r="M465"/>
  <c r="N465"/>
  <c r="O465"/>
  <c r="P465"/>
  <c r="Q465"/>
  <c r="L466"/>
  <c r="M466"/>
  <c r="N466"/>
  <c r="O466"/>
  <c r="P466"/>
  <c r="Q466"/>
  <c r="L467"/>
  <c r="M467"/>
  <c r="N467"/>
  <c r="O467"/>
  <c r="P467"/>
  <c r="Q467"/>
  <c r="L468"/>
  <c r="M468"/>
  <c r="N468"/>
  <c r="O468"/>
  <c r="P468"/>
  <c r="Q468"/>
  <c r="L469"/>
  <c r="M469"/>
  <c r="N469"/>
  <c r="O469"/>
  <c r="P469"/>
  <c r="Q469"/>
  <c r="L470"/>
  <c r="M470"/>
  <c r="N470"/>
  <c r="O470"/>
  <c r="P470"/>
  <c r="Q470"/>
  <c r="L471"/>
  <c r="M471"/>
  <c r="N471"/>
  <c r="O471"/>
  <c r="P471"/>
  <c r="Q471"/>
  <c r="L472"/>
  <c r="M472"/>
  <c r="N472"/>
  <c r="O472"/>
  <c r="P472"/>
  <c r="Q472"/>
  <c r="L473"/>
  <c r="M473"/>
  <c r="N473"/>
  <c r="O473"/>
  <c r="P473"/>
  <c r="Q473"/>
  <c r="L474"/>
  <c r="M474"/>
  <c r="N474"/>
  <c r="O474"/>
  <c r="P474"/>
  <c r="Q474"/>
  <c r="L475"/>
  <c r="M475"/>
  <c r="N475"/>
  <c r="O475"/>
  <c r="P475"/>
  <c r="Q475"/>
  <c r="L476"/>
  <c r="M476"/>
  <c r="N476"/>
  <c r="O476"/>
  <c r="P476"/>
  <c r="Q476"/>
  <c r="L477"/>
  <c r="M477"/>
  <c r="N477"/>
  <c r="O477"/>
  <c r="P477"/>
  <c r="Q477"/>
  <c r="L478"/>
  <c r="M478"/>
  <c r="N478"/>
  <c r="O478"/>
  <c r="P478"/>
  <c r="Q478"/>
  <c r="L479"/>
  <c r="M479"/>
  <c r="N479"/>
  <c r="O479"/>
  <c r="P479"/>
  <c r="Q479"/>
  <c r="L480"/>
  <c r="M480"/>
  <c r="N480"/>
  <c r="O480"/>
  <c r="P480"/>
  <c r="Q480"/>
  <c r="L481"/>
  <c r="M481"/>
  <c r="N481"/>
  <c r="O481"/>
  <c r="P481"/>
  <c r="Q481"/>
  <c r="L482"/>
  <c r="M482"/>
  <c r="N482"/>
  <c r="O482"/>
  <c r="P482"/>
  <c r="Q482"/>
  <c r="L483"/>
  <c r="M483"/>
  <c r="N483"/>
  <c r="O483"/>
  <c r="P483"/>
  <c r="L484"/>
  <c r="M484"/>
  <c r="N484"/>
  <c r="O484"/>
  <c r="P484"/>
  <c r="L485"/>
  <c r="M485"/>
  <c r="N485"/>
  <c r="O485"/>
  <c r="P485"/>
  <c r="L486"/>
  <c r="M486"/>
  <c r="N486"/>
  <c r="O486"/>
  <c r="P486"/>
  <c r="L487"/>
  <c r="M487"/>
  <c r="N487"/>
  <c r="O487"/>
  <c r="P487"/>
  <c r="Q458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M458"/>
  <c r="N458"/>
  <c r="O458"/>
  <c r="P458"/>
  <c r="L458"/>
  <c r="Z399"/>
  <c r="C352"/>
  <c r="C459"/>
  <c r="D352"/>
  <c r="D459"/>
  <c r="E352"/>
  <c r="E459"/>
  <c r="F352"/>
  <c r="F459"/>
  <c r="G352"/>
  <c r="G459"/>
  <c r="H352"/>
  <c r="H459"/>
  <c r="C353"/>
  <c r="C460"/>
  <c r="D353"/>
  <c r="D460"/>
  <c r="E353"/>
  <c r="E460"/>
  <c r="F353"/>
  <c r="F460"/>
  <c r="G353"/>
  <c r="G460"/>
  <c r="H353"/>
  <c r="H460"/>
  <c r="C354"/>
  <c r="C461"/>
  <c r="D354"/>
  <c r="D461"/>
  <c r="E354"/>
  <c r="E461"/>
  <c r="F354"/>
  <c r="F461"/>
  <c r="G354"/>
  <c r="G461"/>
  <c r="H354"/>
  <c r="H461"/>
  <c r="C355"/>
  <c r="C462"/>
  <c r="D355"/>
  <c r="D462"/>
  <c r="E355"/>
  <c r="E462"/>
  <c r="F355"/>
  <c r="F462"/>
  <c r="G355"/>
  <c r="G462"/>
  <c r="H355"/>
  <c r="H462"/>
  <c r="C356"/>
  <c r="C463"/>
  <c r="D356"/>
  <c r="D463"/>
  <c r="E356"/>
  <c r="E463"/>
  <c r="F356"/>
  <c r="F463"/>
  <c r="G356"/>
  <c r="G463"/>
  <c r="H356"/>
  <c r="H463"/>
  <c r="C357"/>
  <c r="C464"/>
  <c r="D357"/>
  <c r="D464"/>
  <c r="E357"/>
  <c r="E464"/>
  <c r="F357"/>
  <c r="F464"/>
  <c r="G357"/>
  <c r="G464"/>
  <c r="H357"/>
  <c r="H464"/>
  <c r="C358"/>
  <c r="C465"/>
  <c r="D358"/>
  <c r="D465"/>
  <c r="E358"/>
  <c r="E465"/>
  <c r="F358"/>
  <c r="F465"/>
  <c r="G358"/>
  <c r="G465"/>
  <c r="H358"/>
  <c r="H465"/>
  <c r="C359"/>
  <c r="C466"/>
  <c r="D359"/>
  <c r="D466"/>
  <c r="E359"/>
  <c r="E466"/>
  <c r="F359"/>
  <c r="F466"/>
  <c r="G359"/>
  <c r="G466"/>
  <c r="H359"/>
  <c r="H466"/>
  <c r="C360"/>
  <c r="C467"/>
  <c r="D360"/>
  <c r="D467"/>
  <c r="E360"/>
  <c r="E467"/>
  <c r="F360"/>
  <c r="F467"/>
  <c r="G360"/>
  <c r="G467"/>
  <c r="H360"/>
  <c r="H467"/>
  <c r="C361"/>
  <c r="C468"/>
  <c r="D361"/>
  <c r="D468"/>
  <c r="E361"/>
  <c r="E468"/>
  <c r="F361"/>
  <c r="F468"/>
  <c r="G361"/>
  <c r="G468"/>
  <c r="H361"/>
  <c r="H468"/>
  <c r="C362"/>
  <c r="C469"/>
  <c r="D362"/>
  <c r="D469"/>
  <c r="E362"/>
  <c r="E469"/>
  <c r="F362"/>
  <c r="F469"/>
  <c r="G362"/>
  <c r="G469"/>
  <c r="H362"/>
  <c r="H469"/>
  <c r="AW163" i="2"/>
  <c r="AR237"/>
  <c r="C363" i="1"/>
  <c r="C470"/>
  <c r="D363"/>
  <c r="D470"/>
  <c r="E363"/>
  <c r="E470"/>
  <c r="F363"/>
  <c r="F470"/>
  <c r="G363"/>
  <c r="G470"/>
  <c r="H363"/>
  <c r="H470"/>
  <c r="C364"/>
  <c r="C471"/>
  <c r="D364"/>
  <c r="D471"/>
  <c r="E364"/>
  <c r="E471"/>
  <c r="F364"/>
  <c r="F471"/>
  <c r="G364"/>
  <c r="G471"/>
  <c r="H364"/>
  <c r="H471"/>
  <c r="C365"/>
  <c r="C472"/>
  <c r="D365"/>
  <c r="D472"/>
  <c r="E365"/>
  <c r="E472"/>
  <c r="F365"/>
  <c r="F472"/>
  <c r="G365"/>
  <c r="G472"/>
  <c r="H365"/>
  <c r="H472"/>
  <c r="C366"/>
  <c r="C473"/>
  <c r="D366"/>
  <c r="D473"/>
  <c r="E366"/>
  <c r="E473"/>
  <c r="F366"/>
  <c r="F473"/>
  <c r="G366"/>
  <c r="G473"/>
  <c r="H366"/>
  <c r="H473"/>
  <c r="C367"/>
  <c r="C474"/>
  <c r="D367"/>
  <c r="D474"/>
  <c r="E367"/>
  <c r="E474"/>
  <c r="F367"/>
  <c r="F474"/>
  <c r="G367"/>
  <c r="G474"/>
  <c r="H367"/>
  <c r="H474"/>
  <c r="C368"/>
  <c r="C475"/>
  <c r="D368"/>
  <c r="D475"/>
  <c r="E368"/>
  <c r="E475"/>
  <c r="F368"/>
  <c r="F475"/>
  <c r="G368"/>
  <c r="G475"/>
  <c r="H368"/>
  <c r="H475"/>
  <c r="C369"/>
  <c r="C476"/>
  <c r="D369"/>
  <c r="D476"/>
  <c r="E369"/>
  <c r="E476"/>
  <c r="F369"/>
  <c r="F476"/>
  <c r="G369"/>
  <c r="G476"/>
  <c r="H369"/>
  <c r="H476"/>
  <c r="C370"/>
  <c r="C477"/>
  <c r="D370"/>
  <c r="D477"/>
  <c r="E370"/>
  <c r="E477"/>
  <c r="F370"/>
  <c r="F477"/>
  <c r="G370"/>
  <c r="G477"/>
  <c r="H370"/>
  <c r="H477"/>
  <c r="C371"/>
  <c r="C478"/>
  <c r="D371"/>
  <c r="D478"/>
  <c r="E371"/>
  <c r="E478"/>
  <c r="F371"/>
  <c r="F478"/>
  <c r="G371"/>
  <c r="G478"/>
  <c r="H371"/>
  <c r="H478"/>
  <c r="C372"/>
  <c r="C479"/>
  <c r="D372"/>
  <c r="D479"/>
  <c r="E372"/>
  <c r="E479"/>
  <c r="F372"/>
  <c r="F479"/>
  <c r="G372"/>
  <c r="G479"/>
  <c r="H372"/>
  <c r="H479"/>
  <c r="C373"/>
  <c r="C480"/>
  <c r="D373"/>
  <c r="D480"/>
  <c r="E373"/>
  <c r="E480"/>
  <c r="F373"/>
  <c r="F480"/>
  <c r="G373"/>
  <c r="G480"/>
  <c r="H373"/>
  <c r="H480"/>
  <c r="C374"/>
  <c r="C481"/>
  <c r="D374"/>
  <c r="D481"/>
  <c r="E374"/>
  <c r="E481"/>
  <c r="F374"/>
  <c r="F481"/>
  <c r="G374"/>
  <c r="G481"/>
  <c r="H374"/>
  <c r="H481"/>
  <c r="C375"/>
  <c r="C482"/>
  <c r="D375"/>
  <c r="D482"/>
  <c r="E375"/>
  <c r="E482"/>
  <c r="F375"/>
  <c r="F482"/>
  <c r="G375"/>
  <c r="G482"/>
  <c r="H375"/>
  <c r="H482"/>
  <c r="C376"/>
  <c r="C483"/>
  <c r="D376"/>
  <c r="D483"/>
  <c r="E376"/>
  <c r="E483"/>
  <c r="F376"/>
  <c r="F483"/>
  <c r="G376"/>
  <c r="G483"/>
  <c r="H376"/>
  <c r="C377"/>
  <c r="C484"/>
  <c r="D377"/>
  <c r="D484"/>
  <c r="E377"/>
  <c r="E484"/>
  <c r="F377"/>
  <c r="F484"/>
  <c r="G377"/>
  <c r="G484"/>
  <c r="H377"/>
  <c r="C378"/>
  <c r="C485"/>
  <c r="D378"/>
  <c r="D485"/>
  <c r="E378"/>
  <c r="E485"/>
  <c r="F378"/>
  <c r="F485"/>
  <c r="G378"/>
  <c r="G485"/>
  <c r="H378"/>
  <c r="C379"/>
  <c r="C486"/>
  <c r="D379"/>
  <c r="D486"/>
  <c r="E379"/>
  <c r="E486"/>
  <c r="F379"/>
  <c r="F486"/>
  <c r="G379"/>
  <c r="G486"/>
  <c r="H379"/>
  <c r="C380"/>
  <c r="C487"/>
  <c r="D380"/>
  <c r="D487"/>
  <c r="E380"/>
  <c r="E487"/>
  <c r="F380"/>
  <c r="F487"/>
  <c r="G380"/>
  <c r="G487"/>
  <c r="H380"/>
  <c r="H351"/>
  <c r="H458"/>
  <c r="D351"/>
  <c r="D458"/>
  <c r="E351"/>
  <c r="E458"/>
  <c r="F351"/>
  <c r="F458"/>
  <c r="G351"/>
  <c r="G458"/>
  <c r="C351"/>
  <c r="C458"/>
  <c r="Z316"/>
  <c r="Z317"/>
  <c r="Z318"/>
  <c r="Z319"/>
  <c r="Z320"/>
  <c r="Z321"/>
  <c r="Z322"/>
  <c r="Z323"/>
  <c r="Z324"/>
  <c r="Z325"/>
  <c r="Z326"/>
  <c r="Z327"/>
  <c r="AR126" i="2"/>
  <c r="Z328" i="1"/>
  <c r="AR127" i="2"/>
  <c r="Z329" i="1"/>
  <c r="AR128" i="2"/>
  <c r="Z330" i="1"/>
  <c r="AR129" i="2"/>
  <c r="Z331" i="1"/>
  <c r="AR130" i="2"/>
  <c r="Z332" i="1"/>
  <c r="AR131" i="2"/>
  <c r="Z333" i="1"/>
  <c r="AR132" i="2"/>
  <c r="Z334" i="1"/>
  <c r="AR133" i="2"/>
  <c r="Z335" i="1"/>
  <c r="AR134" i="2"/>
  <c r="Z336" i="1"/>
  <c r="AR135" i="2"/>
  <c r="Z337" i="1"/>
  <c r="AR136" i="2"/>
  <c r="Z338" i="1"/>
  <c r="AR137" i="2"/>
  <c r="Z339" i="1"/>
  <c r="AR138" i="2"/>
  <c r="Z340" i="1"/>
  <c r="AR139" i="2"/>
  <c r="Z341" i="1"/>
  <c r="AR140" i="2"/>
  <c r="Z342" i="1"/>
  <c r="AR141" i="2"/>
  <c r="Z343" i="1"/>
  <c r="AR142" i="2"/>
  <c r="Z344" i="1"/>
  <c r="AR143" i="2"/>
  <c r="Z345" i="1"/>
  <c r="AR144" i="2"/>
  <c r="Q316" i="1"/>
  <c r="Q317"/>
  <c r="Q318"/>
  <c r="Q319"/>
  <c r="Q320"/>
  <c r="Q321"/>
  <c r="Q322"/>
  <c r="Q323"/>
  <c r="Q324"/>
  <c r="Q325"/>
  <c r="Q326"/>
  <c r="Q327"/>
  <c r="AT126" i="2"/>
  <c r="Q328" i="1"/>
  <c r="AT127" i="2"/>
  <c r="Q329" i="1"/>
  <c r="AT128" i="2"/>
  <c r="Q330" i="1"/>
  <c r="AT129" i="2"/>
  <c r="Q331" i="1"/>
  <c r="AT130" i="2"/>
  <c r="Q332" i="1"/>
  <c r="AT131" i="2"/>
  <c r="Q333" i="1"/>
  <c r="AT132" i="2"/>
  <c r="Q334" i="1"/>
  <c r="AT133" i="2"/>
  <c r="Q335" i="1"/>
  <c r="AT134" i="2"/>
  <c r="Q336" i="1"/>
  <c r="AT135" i="2"/>
  <c r="Q337" i="1"/>
  <c r="AT136" i="2"/>
  <c r="Q338" i="1"/>
  <c r="AT137" i="2"/>
  <c r="Q339" i="1"/>
  <c r="AT138" i="2"/>
  <c r="Q340" i="1"/>
  <c r="AT139" i="2"/>
  <c r="Q341" i="1"/>
  <c r="AT140" i="2"/>
  <c r="Q342" i="1"/>
  <c r="Q343"/>
  <c r="Q344"/>
  <c r="Q345"/>
  <c r="AS135" i="2"/>
  <c r="AS126"/>
  <c r="AS131"/>
  <c r="AS134"/>
  <c r="AS139"/>
  <c r="AW175"/>
  <c r="AR249"/>
  <c r="AW171"/>
  <c r="AR245"/>
  <c r="AS132"/>
  <c r="AW167"/>
  <c r="AR241"/>
  <c r="AW174"/>
  <c r="AR248"/>
  <c r="AW170"/>
  <c r="AR244"/>
  <c r="AW166"/>
  <c r="AR240"/>
  <c r="AS128"/>
  <c r="AS138"/>
  <c r="AS137"/>
  <c r="AS136"/>
  <c r="AW176"/>
  <c r="AR250"/>
  <c r="AW172"/>
  <c r="AR246"/>
  <c r="AW168"/>
  <c r="AR242"/>
  <c r="AW164"/>
  <c r="AR238"/>
  <c r="AS129"/>
  <c r="AS133"/>
  <c r="AW173"/>
  <c r="AR247"/>
  <c r="AW169"/>
  <c r="AR243"/>
  <c r="AW165"/>
  <c r="AR239"/>
  <c r="AS127"/>
  <c r="AS130"/>
  <c r="H292" i="1"/>
  <c r="Q292"/>
  <c r="H293"/>
  <c r="Z293"/>
  <c r="H294"/>
  <c r="Z294"/>
  <c r="H295"/>
  <c r="Q295"/>
  <c r="H296"/>
  <c r="Z296"/>
  <c r="H297"/>
  <c r="Z297"/>
  <c r="H298"/>
  <c r="Z298"/>
  <c r="H299"/>
  <c r="Z299"/>
  <c r="H300"/>
  <c r="Q300"/>
  <c r="H301"/>
  <c r="Q301"/>
  <c r="H302"/>
  <c r="Z302"/>
  <c r="H303"/>
  <c r="Z303"/>
  <c r="H304"/>
  <c r="Z304"/>
  <c r="H305"/>
  <c r="Z305"/>
  <c r="H306"/>
  <c r="Z306"/>
  <c r="H307"/>
  <c r="Z307"/>
  <c r="H308"/>
  <c r="Q308"/>
  <c r="H309"/>
  <c r="Z309"/>
  <c r="H310"/>
  <c r="Z310"/>
  <c r="Z389"/>
  <c r="AS116" i="2"/>
  <c r="Z390" i="1"/>
  <c r="AS117" i="2"/>
  <c r="Z391" i="1"/>
  <c r="AS118" i="2"/>
  <c r="Z392" i="1"/>
  <c r="AS119" i="2"/>
  <c r="Z393" i="1"/>
  <c r="AS120" i="2"/>
  <c r="Z394" i="1"/>
  <c r="AS121" i="2"/>
  <c r="Z395" i="1"/>
  <c r="AS122" i="2"/>
  <c r="Z396" i="1"/>
  <c r="AS123" i="2"/>
  <c r="Z397" i="1"/>
  <c r="AS124" i="2"/>
  <c r="Q389" i="1"/>
  <c r="Q390"/>
  <c r="Q391"/>
  <c r="Q392"/>
  <c r="Q393"/>
  <c r="Q394"/>
  <c r="Q395"/>
  <c r="Q396"/>
  <c r="Q397"/>
  <c r="H413"/>
  <c r="Z413"/>
  <c r="AS140" i="2"/>
  <c r="G413" i="1"/>
  <c r="F413"/>
  <c r="E413"/>
  <c r="D413"/>
  <c r="C413"/>
  <c r="G398"/>
  <c r="F398"/>
  <c r="E398"/>
  <c r="D398"/>
  <c r="C398"/>
  <c r="H388"/>
  <c r="Q388"/>
  <c r="G388"/>
  <c r="F388"/>
  <c r="E388"/>
  <c r="D388"/>
  <c r="C388"/>
  <c r="Z300"/>
  <c r="Z301"/>
  <c r="Q303"/>
  <c r="Q299"/>
  <c r="AI299"/>
  <c r="Z295"/>
  <c r="AI295"/>
  <c r="Q309"/>
  <c r="AI309"/>
  <c r="Q304"/>
  <c r="AI304"/>
  <c r="Q293"/>
  <c r="AI293"/>
  <c r="Q305"/>
  <c r="AI305"/>
  <c r="AT115" i="2"/>
  <c r="AW152"/>
  <c r="AR226"/>
  <c r="AW160"/>
  <c r="AR234"/>
  <c r="AT123"/>
  <c r="AW158"/>
  <c r="AR232"/>
  <c r="AT121"/>
  <c r="AW156"/>
  <c r="AR230"/>
  <c r="AT119"/>
  <c r="AW154"/>
  <c r="AR228"/>
  <c r="AT117"/>
  <c r="AT124"/>
  <c r="AW161"/>
  <c r="AR235"/>
  <c r="AT122"/>
  <c r="AW159"/>
  <c r="AR233"/>
  <c r="AT120"/>
  <c r="AW157"/>
  <c r="AR231"/>
  <c r="AT118"/>
  <c r="AW155"/>
  <c r="AR229"/>
  <c r="AT116"/>
  <c r="AW153"/>
  <c r="AR227"/>
  <c r="Z308" i="1"/>
  <c r="AI308"/>
  <c r="AI396"/>
  <c r="AI392"/>
  <c r="Q296"/>
  <c r="AI296"/>
  <c r="Z292"/>
  <c r="AI292"/>
  <c r="AI391"/>
  <c r="Q307"/>
  <c r="AI307"/>
  <c r="Q297"/>
  <c r="AI297"/>
  <c r="AI393"/>
  <c r="Q310"/>
  <c r="AI310"/>
  <c r="Q306"/>
  <c r="AI306"/>
  <c r="Q302"/>
  <c r="AI302"/>
  <c r="Q298"/>
  <c r="AI298"/>
  <c r="Q294"/>
  <c r="AI294"/>
  <c r="Q398"/>
  <c r="AI395"/>
  <c r="Z398"/>
  <c r="AS125" i="2"/>
  <c r="AI397" i="1"/>
  <c r="AI389"/>
  <c r="AI303"/>
  <c r="AI394"/>
  <c r="AI390"/>
  <c r="Z388"/>
  <c r="AI301"/>
  <c r="AI300"/>
  <c r="AI388"/>
  <c r="H281"/>
  <c r="AS115" i="2"/>
  <c r="H283" i="1"/>
  <c r="Z283"/>
  <c r="AR117" i="2"/>
  <c r="H282" i="1"/>
  <c r="Z282"/>
  <c r="AR116" i="2"/>
  <c r="AW162"/>
  <c r="AR236"/>
  <c r="AT125"/>
  <c r="H286" i="1"/>
  <c r="Z286"/>
  <c r="AR120" i="2"/>
  <c r="H285" i="1"/>
  <c r="Z285"/>
  <c r="AR119" i="2"/>
  <c r="H287" i="1"/>
  <c r="Z287"/>
  <c r="AR121" i="2"/>
  <c r="H290" i="1"/>
  <c r="Z290"/>
  <c r="AR124" i="2"/>
  <c r="H288" i="1"/>
  <c r="Z288"/>
  <c r="AR122" i="2"/>
  <c r="H284" i="1"/>
  <c r="AR118" i="2"/>
  <c r="H289" i="1"/>
  <c r="AR123" i="2"/>
  <c r="AI398" i="1"/>
  <c r="Q283"/>
  <c r="AR115" i="2"/>
  <c r="Q290" i="1"/>
  <c r="AI290"/>
  <c r="Q287"/>
  <c r="AI287"/>
  <c r="Q282"/>
  <c r="AI282"/>
  <c r="Q285"/>
  <c r="AI285"/>
  <c r="Q281"/>
  <c r="Z281"/>
  <c r="Q286"/>
  <c r="AI286"/>
  <c r="Q288"/>
  <c r="AI288"/>
  <c r="H291"/>
  <c r="AR125" i="2"/>
  <c r="Z289" i="1"/>
  <c r="Q289"/>
  <c r="Z284"/>
  <c r="Q284"/>
  <c r="AI283"/>
  <c r="AI284"/>
  <c r="AI281"/>
  <c r="AI289"/>
  <c r="Q291"/>
  <c r="Z291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N253"/>
  <c r="S242"/>
  <c r="R43" i="2"/>
  <c r="R242" i="1"/>
  <c r="R243"/>
  <c r="R244"/>
  <c r="R245"/>
  <c r="R246"/>
  <c r="R247"/>
  <c r="R248"/>
  <c r="R249"/>
  <c r="R250"/>
  <c r="R251"/>
  <c r="R252"/>
  <c r="Q242"/>
  <c r="Q243"/>
  <c r="Q244"/>
  <c r="Q245"/>
  <c r="Q246"/>
  <c r="Q247"/>
  <c r="Q248"/>
  <c r="Q249"/>
  <c r="Q250"/>
  <c r="Q251"/>
  <c r="Q252"/>
  <c r="P242"/>
  <c r="P243"/>
  <c r="P244"/>
  <c r="P245"/>
  <c r="P246"/>
  <c r="P247"/>
  <c r="P248"/>
  <c r="P249"/>
  <c r="P250"/>
  <c r="P251"/>
  <c r="P252"/>
  <c r="O242"/>
  <c r="O243"/>
  <c r="O244"/>
  <c r="O245"/>
  <c r="O246"/>
  <c r="O247"/>
  <c r="O248"/>
  <c r="O249"/>
  <c r="O250"/>
  <c r="O251"/>
  <c r="O252"/>
  <c r="N242"/>
  <c r="H243"/>
  <c r="H44" i="2"/>
  <c r="G242" i="1"/>
  <c r="F242"/>
  <c r="E242"/>
  <c r="D242"/>
  <c r="C242"/>
  <c r="M5" i="4"/>
  <c r="M4"/>
  <c r="M9"/>
  <c r="M8"/>
  <c r="N243" i="1"/>
  <c r="N244"/>
  <c r="T242"/>
  <c r="S243"/>
  <c r="AI291"/>
  <c r="N254"/>
  <c r="H244"/>
  <c r="H45" i="2"/>
  <c r="I242" i="1"/>
  <c r="Q11" i="4"/>
  <c r="Q12"/>
  <c r="L413" i="1"/>
  <c r="G563"/>
  <c r="H563"/>
  <c r="F564"/>
  <c r="G564"/>
  <c r="H564"/>
  <c r="F565"/>
  <c r="G565"/>
  <c r="H565"/>
  <c r="F566"/>
  <c r="G566"/>
  <c r="H566"/>
  <c r="F567"/>
  <c r="G567"/>
  <c r="H567"/>
  <c r="F568"/>
  <c r="G568"/>
  <c r="H568"/>
  <c r="F569"/>
  <c r="G569"/>
  <c r="H569"/>
  <c r="F570"/>
  <c r="G570"/>
  <c r="H570"/>
  <c r="F571"/>
  <c r="G571"/>
  <c r="H571"/>
  <c r="F572"/>
  <c r="G572"/>
  <c r="H572"/>
  <c r="G573"/>
  <c r="H573"/>
  <c r="F574"/>
  <c r="G574"/>
  <c r="H574"/>
  <c r="F575"/>
  <c r="G575"/>
  <c r="H575"/>
  <c r="F576"/>
  <c r="G576"/>
  <c r="H576"/>
  <c r="F577"/>
  <c r="G577"/>
  <c r="H577"/>
  <c r="F578"/>
  <c r="G578"/>
  <c r="H578"/>
  <c r="F579"/>
  <c r="G579"/>
  <c r="H579"/>
  <c r="F580"/>
  <c r="G580"/>
  <c r="H580"/>
  <c r="F581"/>
  <c r="G581"/>
  <c r="H581"/>
  <c r="F582"/>
  <c r="G582"/>
  <c r="H582"/>
  <c r="F583"/>
  <c r="G583"/>
  <c r="H583"/>
  <c r="F584"/>
  <c r="G584"/>
  <c r="H584"/>
  <c r="F585"/>
  <c r="G585"/>
  <c r="H585"/>
  <c r="F586"/>
  <c r="G586"/>
  <c r="H586"/>
  <c r="F587"/>
  <c r="G587"/>
  <c r="H587"/>
  <c r="F588"/>
  <c r="G588"/>
  <c r="H588"/>
  <c r="F589"/>
  <c r="G589"/>
  <c r="H589"/>
  <c r="F590"/>
  <c r="G590"/>
  <c r="H590"/>
  <c r="F591"/>
  <c r="G591"/>
  <c r="H591"/>
  <c r="F592"/>
  <c r="G592"/>
  <c r="H592"/>
  <c r="H562"/>
  <c r="G562"/>
  <c r="F562"/>
  <c r="T243"/>
  <c r="R44" i="2"/>
  <c r="S244" i="1"/>
  <c r="T11" i="4"/>
  <c r="N255" i="1"/>
  <c r="N245"/>
  <c r="H245"/>
  <c r="H46" i="2"/>
  <c r="O127" i="1"/>
  <c r="O141"/>
  <c r="O140"/>
  <c r="O138"/>
  <c r="O137"/>
  <c r="O136"/>
  <c r="O135"/>
  <c r="O134"/>
  <c r="O133"/>
  <c r="O132"/>
  <c r="N126"/>
  <c r="N127"/>
  <c r="F148"/>
  <c r="F149"/>
  <c r="N138"/>
  <c r="N142"/>
  <c r="G134"/>
  <c r="G135"/>
  <c r="F135"/>
  <c r="G137"/>
  <c r="G136"/>
  <c r="G127"/>
  <c r="F136"/>
  <c r="F137"/>
  <c r="F127"/>
  <c r="F130"/>
  <c r="E58"/>
  <c r="F58"/>
  <c r="G58"/>
  <c r="H58"/>
  <c r="I58"/>
  <c r="J58"/>
  <c r="K58"/>
  <c r="L58"/>
  <c r="E59"/>
  <c r="F59"/>
  <c r="G59"/>
  <c r="H59"/>
  <c r="I59"/>
  <c r="J59"/>
  <c r="K59"/>
  <c r="L59"/>
  <c r="D58"/>
  <c r="D59"/>
  <c r="C59"/>
  <c r="C58"/>
  <c r="T244"/>
  <c r="R45" i="2"/>
  <c r="G130" i="1"/>
  <c r="C166"/>
  <c r="S245"/>
  <c r="M58"/>
  <c r="O142"/>
  <c r="F170"/>
  <c r="O170"/>
  <c r="N246"/>
  <c r="N256"/>
  <c r="H246"/>
  <c r="H47" i="2"/>
  <c r="N128" i="1"/>
  <c r="O128"/>
  <c r="G166"/>
  <c r="G149"/>
  <c r="F138"/>
  <c r="G138"/>
  <c r="C192"/>
  <c r="L192"/>
  <c r="M59"/>
  <c r="G12" i="4"/>
  <c r="G13"/>
  <c r="C69" i="1"/>
  <c r="H69"/>
  <c r="G69"/>
  <c r="D69"/>
  <c r="T245"/>
  <c r="R46" i="2"/>
  <c r="G168" i="1"/>
  <c r="P168"/>
  <c r="G170"/>
  <c r="P170"/>
  <c r="G172"/>
  <c r="P172"/>
  <c r="G174"/>
  <c r="P174"/>
  <c r="G176"/>
  <c r="P176"/>
  <c r="G178"/>
  <c r="P178"/>
  <c r="G180"/>
  <c r="G182"/>
  <c r="P182"/>
  <c r="G184"/>
  <c r="G186"/>
  <c r="P186"/>
  <c r="G188"/>
  <c r="G190"/>
  <c r="P190"/>
  <c r="G192"/>
  <c r="G196"/>
  <c r="P196"/>
  <c r="G167"/>
  <c r="P167"/>
  <c r="G169"/>
  <c r="P169"/>
  <c r="G171"/>
  <c r="P171"/>
  <c r="G173"/>
  <c r="P173"/>
  <c r="G175"/>
  <c r="P175"/>
  <c r="G177"/>
  <c r="P177"/>
  <c r="G179"/>
  <c r="G181"/>
  <c r="P181"/>
  <c r="G183"/>
  <c r="G185"/>
  <c r="P185"/>
  <c r="G187"/>
  <c r="G189"/>
  <c r="P189"/>
  <c r="G191"/>
  <c r="G193"/>
  <c r="P193"/>
  <c r="G195"/>
  <c r="P166"/>
  <c r="G194"/>
  <c r="N176"/>
  <c r="E178"/>
  <c r="N178"/>
  <c r="E180"/>
  <c r="E182"/>
  <c r="N182"/>
  <c r="E184"/>
  <c r="N184"/>
  <c r="E186"/>
  <c r="N186"/>
  <c r="E188"/>
  <c r="N188"/>
  <c r="E190"/>
  <c r="N190"/>
  <c r="E192"/>
  <c r="N192"/>
  <c r="E194"/>
  <c r="E196"/>
  <c r="N196"/>
  <c r="N171"/>
  <c r="N175"/>
  <c r="E177"/>
  <c r="E179"/>
  <c r="N179"/>
  <c r="E181"/>
  <c r="N181"/>
  <c r="E183"/>
  <c r="E185"/>
  <c r="E187"/>
  <c r="N187"/>
  <c r="E189"/>
  <c r="N189"/>
  <c r="E191"/>
  <c r="E193"/>
  <c r="E195"/>
  <c r="N195"/>
  <c r="D62"/>
  <c r="S246"/>
  <c r="R47" i="2"/>
  <c r="F177" i="1"/>
  <c r="O177"/>
  <c r="F168"/>
  <c r="O168"/>
  <c r="F189"/>
  <c r="O189"/>
  <c r="F169"/>
  <c r="O169"/>
  <c r="F190"/>
  <c r="O190"/>
  <c r="F185"/>
  <c r="O185"/>
  <c r="F184"/>
  <c r="O184"/>
  <c r="F193"/>
  <c r="O193"/>
  <c r="F173"/>
  <c r="O173"/>
  <c r="F180"/>
  <c r="O180"/>
  <c r="N167"/>
  <c r="F166"/>
  <c r="O166"/>
  <c r="F181"/>
  <c r="O181"/>
  <c r="F196"/>
  <c r="O196"/>
  <c r="F174"/>
  <c r="O174"/>
  <c r="F191"/>
  <c r="O191"/>
  <c r="F183"/>
  <c r="O183"/>
  <c r="F175"/>
  <c r="O175"/>
  <c r="F167"/>
  <c r="O167"/>
  <c r="F188"/>
  <c r="O188"/>
  <c r="F176"/>
  <c r="O176"/>
  <c r="F195"/>
  <c r="O195"/>
  <c r="F187"/>
  <c r="O187"/>
  <c r="F179"/>
  <c r="O179"/>
  <c r="F171"/>
  <c r="O171"/>
  <c r="F192"/>
  <c r="O192"/>
  <c r="F182"/>
  <c r="O182"/>
  <c r="F172"/>
  <c r="O172"/>
  <c r="F194"/>
  <c r="O194"/>
  <c r="F186"/>
  <c r="O186"/>
  <c r="F178"/>
  <c r="O178"/>
  <c r="N257"/>
  <c r="N247"/>
  <c r="H247"/>
  <c r="H48" i="2"/>
  <c r="M63" i="1"/>
  <c r="N69"/>
  <c r="L69"/>
  <c r="H62"/>
  <c r="L62"/>
  <c r="H63"/>
  <c r="L63"/>
  <c r="E62"/>
  <c r="I62"/>
  <c r="E63"/>
  <c r="I63"/>
  <c r="C70"/>
  <c r="M62"/>
  <c r="N168"/>
  <c r="F62"/>
  <c r="J62"/>
  <c r="F63"/>
  <c r="J63"/>
  <c r="D63"/>
  <c r="G62"/>
  <c r="K62"/>
  <c r="G63"/>
  <c r="K63"/>
  <c r="N183"/>
  <c r="N185"/>
  <c r="N191"/>
  <c r="N193"/>
  <c r="N177"/>
  <c r="N180"/>
  <c r="N194"/>
  <c r="P179"/>
  <c r="P183"/>
  <c r="P187"/>
  <c r="P191"/>
  <c r="P195"/>
  <c r="P180"/>
  <c r="P184"/>
  <c r="P188"/>
  <c r="P192"/>
  <c r="P194"/>
  <c r="N172"/>
  <c r="C176"/>
  <c r="L176"/>
  <c r="N174"/>
  <c r="N170"/>
  <c r="N166"/>
  <c r="N173"/>
  <c r="N169"/>
  <c r="P69"/>
  <c r="F69"/>
  <c r="O69"/>
  <c r="M69"/>
  <c r="E69"/>
  <c r="G202"/>
  <c r="C184"/>
  <c r="L184"/>
  <c r="C168"/>
  <c r="L168"/>
  <c r="C167"/>
  <c r="C183"/>
  <c r="L183"/>
  <c r="C191"/>
  <c r="L191"/>
  <c r="C175"/>
  <c r="L175"/>
  <c r="C196"/>
  <c r="L196"/>
  <c r="C188"/>
  <c r="L188"/>
  <c r="C180"/>
  <c r="L180"/>
  <c r="C172"/>
  <c r="L172"/>
  <c r="C195"/>
  <c r="L195"/>
  <c r="C187"/>
  <c r="L187"/>
  <c r="C179"/>
  <c r="L179"/>
  <c r="C171"/>
  <c r="L171"/>
  <c r="D168"/>
  <c r="M168"/>
  <c r="D170"/>
  <c r="M170"/>
  <c r="D172"/>
  <c r="M172"/>
  <c r="D174"/>
  <c r="M174"/>
  <c r="D176"/>
  <c r="M176"/>
  <c r="D178"/>
  <c r="M178"/>
  <c r="D180"/>
  <c r="M180"/>
  <c r="D182"/>
  <c r="M182"/>
  <c r="D184"/>
  <c r="M184"/>
  <c r="D186"/>
  <c r="M186"/>
  <c r="D188"/>
  <c r="M188"/>
  <c r="D190"/>
  <c r="M190"/>
  <c r="D192"/>
  <c r="M192"/>
  <c r="D194"/>
  <c r="M194"/>
  <c r="D196"/>
  <c r="M196"/>
  <c r="D167"/>
  <c r="M167"/>
  <c r="D169"/>
  <c r="M169"/>
  <c r="D171"/>
  <c r="M171"/>
  <c r="D173"/>
  <c r="M173"/>
  <c r="D175"/>
  <c r="M175"/>
  <c r="D177"/>
  <c r="M177"/>
  <c r="D179"/>
  <c r="M179"/>
  <c r="D181"/>
  <c r="M181"/>
  <c r="D183"/>
  <c r="M183"/>
  <c r="D185"/>
  <c r="M185"/>
  <c r="D187"/>
  <c r="M187"/>
  <c r="D189"/>
  <c r="M189"/>
  <c r="D191"/>
  <c r="M191"/>
  <c r="D193"/>
  <c r="M193"/>
  <c r="D195"/>
  <c r="M195"/>
  <c r="D166"/>
  <c r="C194"/>
  <c r="L194"/>
  <c r="C190"/>
  <c r="L190"/>
  <c r="C186"/>
  <c r="L186"/>
  <c r="C182"/>
  <c r="L182"/>
  <c r="C178"/>
  <c r="L178"/>
  <c r="C174"/>
  <c r="L174"/>
  <c r="C170"/>
  <c r="L170"/>
  <c r="C193"/>
  <c r="L193"/>
  <c r="C189"/>
  <c r="L189"/>
  <c r="C185"/>
  <c r="L185"/>
  <c r="C181"/>
  <c r="L181"/>
  <c r="C177"/>
  <c r="L177"/>
  <c r="C173"/>
  <c r="L173"/>
  <c r="C169"/>
  <c r="L169"/>
  <c r="F12" i="4"/>
  <c r="D12"/>
  <c r="P452" i="1"/>
  <c r="O452"/>
  <c r="N452"/>
  <c r="M452"/>
  <c r="L452"/>
  <c r="P451"/>
  <c r="O451"/>
  <c r="N451"/>
  <c r="M451"/>
  <c r="L451"/>
  <c r="P450"/>
  <c r="O450"/>
  <c r="N450"/>
  <c r="M450"/>
  <c r="L450"/>
  <c r="P449"/>
  <c r="O449"/>
  <c r="N449"/>
  <c r="M449"/>
  <c r="L449"/>
  <c r="P448"/>
  <c r="O448"/>
  <c r="N448"/>
  <c r="M448"/>
  <c r="L448"/>
  <c r="P447"/>
  <c r="O447"/>
  <c r="N447"/>
  <c r="M447"/>
  <c r="L447"/>
  <c r="P446"/>
  <c r="O446"/>
  <c r="N446"/>
  <c r="M446"/>
  <c r="L446"/>
  <c r="P445"/>
  <c r="O445"/>
  <c r="N445"/>
  <c r="M445"/>
  <c r="L445"/>
  <c r="P444"/>
  <c r="O444"/>
  <c r="N444"/>
  <c r="M444"/>
  <c r="L444"/>
  <c r="P443"/>
  <c r="O443"/>
  <c r="N443"/>
  <c r="M443"/>
  <c r="L443"/>
  <c r="P442"/>
  <c r="O442"/>
  <c r="N442"/>
  <c r="M442"/>
  <c r="L442"/>
  <c r="P441"/>
  <c r="O441"/>
  <c r="N441"/>
  <c r="M441"/>
  <c r="L441"/>
  <c r="P440"/>
  <c r="O440"/>
  <c r="N440"/>
  <c r="M440"/>
  <c r="L440"/>
  <c r="P439"/>
  <c r="O439"/>
  <c r="N439"/>
  <c r="M439"/>
  <c r="L439"/>
  <c r="P438"/>
  <c r="O438"/>
  <c r="N438"/>
  <c r="M438"/>
  <c r="L438"/>
  <c r="P437"/>
  <c r="O437"/>
  <c r="N437"/>
  <c r="M437"/>
  <c r="L437"/>
  <c r="P436"/>
  <c r="O436"/>
  <c r="N436"/>
  <c r="M436"/>
  <c r="L436"/>
  <c r="P435"/>
  <c r="O435"/>
  <c r="N435"/>
  <c r="M435"/>
  <c r="L435"/>
  <c r="P434"/>
  <c r="O434"/>
  <c r="N434"/>
  <c r="M434"/>
  <c r="L434"/>
  <c r="P433"/>
  <c r="O433"/>
  <c r="N433"/>
  <c r="M433"/>
  <c r="L433"/>
  <c r="P432"/>
  <c r="O432"/>
  <c r="N432"/>
  <c r="M432"/>
  <c r="L432"/>
  <c r="P431"/>
  <c r="O431"/>
  <c r="N431"/>
  <c r="M431"/>
  <c r="L431"/>
  <c r="P430"/>
  <c r="O430"/>
  <c r="N430"/>
  <c r="M430"/>
  <c r="L430"/>
  <c r="P429"/>
  <c r="O429"/>
  <c r="N429"/>
  <c r="M429"/>
  <c r="L429"/>
  <c r="P428"/>
  <c r="O428"/>
  <c r="N428"/>
  <c r="M428"/>
  <c r="L428"/>
  <c r="P427"/>
  <c r="O427"/>
  <c r="N427"/>
  <c r="M427"/>
  <c r="L427"/>
  <c r="P426"/>
  <c r="O426"/>
  <c r="N426"/>
  <c r="M426"/>
  <c r="L426"/>
  <c r="P425"/>
  <c r="O425"/>
  <c r="N425"/>
  <c r="M425"/>
  <c r="L425"/>
  <c r="P424"/>
  <c r="O424"/>
  <c r="N424"/>
  <c r="M424"/>
  <c r="L424"/>
  <c r="P423"/>
  <c r="O423"/>
  <c r="N423"/>
  <c r="M423"/>
  <c r="L423"/>
  <c r="V388"/>
  <c r="W388"/>
  <c r="X388"/>
  <c r="Y388"/>
  <c r="V398"/>
  <c r="W398"/>
  <c r="X398"/>
  <c r="Y398"/>
  <c r="V413"/>
  <c r="W413"/>
  <c r="X413"/>
  <c r="Y413"/>
  <c r="U388"/>
  <c r="U413"/>
  <c r="U398"/>
  <c r="M388"/>
  <c r="N388"/>
  <c r="O388"/>
  <c r="P388"/>
  <c r="M398"/>
  <c r="N398"/>
  <c r="O398"/>
  <c r="P398"/>
  <c r="M413"/>
  <c r="N413"/>
  <c r="O413"/>
  <c r="P413"/>
  <c r="L398"/>
  <c r="L388"/>
  <c r="I40" i="4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39"/>
  <c r="U22"/>
  <c r="U21"/>
  <c r="T22"/>
  <c r="T21"/>
  <c r="S32"/>
  <c r="S31"/>
  <c r="S29"/>
  <c r="S30"/>
  <c r="T32"/>
  <c r="T31"/>
  <c r="T30"/>
  <c r="T29"/>
  <c r="N23"/>
  <c r="N24"/>
  <c r="N25"/>
  <c r="N26"/>
  <c r="N22"/>
  <c r="M26"/>
  <c r="M23"/>
  <c r="M25"/>
  <c r="M24"/>
  <c r="M22"/>
  <c r="E25"/>
  <c r="F24"/>
  <c r="F23"/>
  <c r="E24"/>
  <c r="E23"/>
  <c r="F18"/>
  <c r="L19"/>
  <c r="L18"/>
  <c r="L17"/>
  <c r="F17"/>
  <c r="E18"/>
  <c r="E12"/>
  <c r="H12"/>
  <c r="I12"/>
  <c r="J12"/>
  <c r="K12"/>
  <c r="L12"/>
  <c r="E13"/>
  <c r="F13"/>
  <c r="H13"/>
  <c r="I13"/>
  <c r="J13"/>
  <c r="K13"/>
  <c r="L13"/>
  <c r="D13"/>
  <c r="C13"/>
  <c r="C12"/>
  <c r="N27"/>
  <c r="P202" i="1"/>
  <c r="H202"/>
  <c r="Q69"/>
  <c r="Q202"/>
  <c r="T246"/>
  <c r="U30" i="4"/>
  <c r="U31"/>
  <c r="O202" i="1"/>
  <c r="S247"/>
  <c r="F202"/>
  <c r="N248"/>
  <c r="N258"/>
  <c r="H248"/>
  <c r="H49" i="2"/>
  <c r="U29" i="4"/>
  <c r="U32"/>
  <c r="M13"/>
  <c r="P39"/>
  <c r="E202" i="1"/>
  <c r="M12" i="4"/>
  <c r="M39"/>
  <c r="N202" i="1"/>
  <c r="D202"/>
  <c r="M166"/>
  <c r="M202"/>
  <c r="C203"/>
  <c r="L167"/>
  <c r="C202"/>
  <c r="L166"/>
  <c r="L202"/>
  <c r="O24" i="4"/>
  <c r="U23"/>
  <c r="H41"/>
  <c r="O25"/>
  <c r="O23"/>
  <c r="O26"/>
  <c r="K30"/>
  <c r="N39"/>
  <c r="O39"/>
  <c r="O22"/>
  <c r="R39"/>
  <c r="L20"/>
  <c r="E40"/>
  <c r="T33"/>
  <c r="F19"/>
  <c r="Z9" i="3"/>
  <c r="Z10"/>
  <c r="Z11"/>
  <c r="Z12"/>
  <c r="Z13"/>
  <c r="Z14"/>
  <c r="Z15"/>
  <c r="Z16"/>
  <c r="Z17"/>
  <c r="Z8"/>
  <c r="Q39" i="4"/>
  <c r="T247" i="1"/>
  <c r="R48" i="2"/>
  <c r="S248" i="1"/>
  <c r="R49" i="2"/>
  <c r="N259" i="1"/>
  <c r="H57" i="4"/>
  <c r="N249" i="1"/>
  <c r="H249"/>
  <c r="H50" i="2"/>
  <c r="U33" i="4"/>
  <c r="L31"/>
  <c r="E65"/>
  <c r="E56"/>
  <c r="O27"/>
  <c r="L30"/>
  <c r="E49"/>
  <c r="E43"/>
  <c r="E57"/>
  <c r="E64"/>
  <c r="E48"/>
  <c r="E39"/>
  <c r="W39"/>
  <c r="D8" i="3"/>
  <c r="H52" i="4"/>
  <c r="H49"/>
  <c r="H65"/>
  <c r="H44"/>
  <c r="H60"/>
  <c r="H45"/>
  <c r="H53"/>
  <c r="H61"/>
  <c r="H39"/>
  <c r="Z39"/>
  <c r="G8" i="3"/>
  <c r="H40" i="4"/>
  <c r="H48"/>
  <c r="H56"/>
  <c r="H64"/>
  <c r="E61"/>
  <c r="E53"/>
  <c r="E68"/>
  <c r="E60"/>
  <c r="E52"/>
  <c r="E45"/>
  <c r="E41"/>
  <c r="H43"/>
  <c r="H47"/>
  <c r="H51"/>
  <c r="H55"/>
  <c r="H59"/>
  <c r="H63"/>
  <c r="H67"/>
  <c r="H42"/>
  <c r="H46"/>
  <c r="H50"/>
  <c r="H54"/>
  <c r="H58"/>
  <c r="H62"/>
  <c r="H66"/>
  <c r="H68"/>
  <c r="E67"/>
  <c r="E63"/>
  <c r="E59"/>
  <c r="E55"/>
  <c r="E51"/>
  <c r="E47"/>
  <c r="E66"/>
  <c r="E62"/>
  <c r="E58"/>
  <c r="E54"/>
  <c r="E50"/>
  <c r="E46"/>
  <c r="E44"/>
  <c r="E42"/>
  <c r="AA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39"/>
  <c r="V423" i="1"/>
  <c r="W423"/>
  <c r="X423"/>
  <c r="Y423"/>
  <c r="V424"/>
  <c r="W424"/>
  <c r="X424"/>
  <c r="Y424"/>
  <c r="V425"/>
  <c r="W425"/>
  <c r="X425"/>
  <c r="Y425"/>
  <c r="V426"/>
  <c r="W426"/>
  <c r="X426"/>
  <c r="Y426"/>
  <c r="V427"/>
  <c r="W427"/>
  <c r="X427"/>
  <c r="Y427"/>
  <c r="V428"/>
  <c r="W428"/>
  <c r="X428"/>
  <c r="Y428"/>
  <c r="V429"/>
  <c r="W429"/>
  <c r="X429"/>
  <c r="Y429"/>
  <c r="V430"/>
  <c r="W430"/>
  <c r="X430"/>
  <c r="Y430"/>
  <c r="V431"/>
  <c r="W431"/>
  <c r="X431"/>
  <c r="Y431"/>
  <c r="V432"/>
  <c r="W432"/>
  <c r="X432"/>
  <c r="Y432"/>
  <c r="V433"/>
  <c r="W433"/>
  <c r="X433"/>
  <c r="Y433"/>
  <c r="V434"/>
  <c r="W434"/>
  <c r="X434"/>
  <c r="Y434"/>
  <c r="V435"/>
  <c r="W435"/>
  <c r="X435"/>
  <c r="Y435"/>
  <c r="V436"/>
  <c r="W436"/>
  <c r="X436"/>
  <c r="Y436"/>
  <c r="V437"/>
  <c r="W437"/>
  <c r="X437"/>
  <c r="Y437"/>
  <c r="V438"/>
  <c r="W438"/>
  <c r="X438"/>
  <c r="Y438"/>
  <c r="V439"/>
  <c r="W439"/>
  <c r="X439"/>
  <c r="Y439"/>
  <c r="V440"/>
  <c r="W440"/>
  <c r="X440"/>
  <c r="Y440"/>
  <c r="V441"/>
  <c r="W441"/>
  <c r="X441"/>
  <c r="Y441"/>
  <c r="V442"/>
  <c r="W442"/>
  <c r="X442"/>
  <c r="Y442"/>
  <c r="V443"/>
  <c r="W443"/>
  <c r="X443"/>
  <c r="Y443"/>
  <c r="V444"/>
  <c r="W444"/>
  <c r="X444"/>
  <c r="Y444"/>
  <c r="V445"/>
  <c r="W445"/>
  <c r="X445"/>
  <c r="Y445"/>
  <c r="V446"/>
  <c r="W446"/>
  <c r="X446"/>
  <c r="Y446"/>
  <c r="V447"/>
  <c r="W447"/>
  <c r="X447"/>
  <c r="Y447"/>
  <c r="V448"/>
  <c r="W448"/>
  <c r="X448"/>
  <c r="Y448"/>
  <c r="V449"/>
  <c r="W449"/>
  <c r="X449"/>
  <c r="Y449"/>
  <c r="V450"/>
  <c r="W450"/>
  <c r="X450"/>
  <c r="Y450"/>
  <c r="V451"/>
  <c r="W451"/>
  <c r="X451"/>
  <c r="Y451"/>
  <c r="V452"/>
  <c r="W452"/>
  <c r="X452"/>
  <c r="Y452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23"/>
  <c r="Z27" i="3"/>
  <c r="Z35"/>
  <c r="Z33"/>
  <c r="M152" i="2"/>
  <c r="L226"/>
  <c r="U317" i="1"/>
  <c r="V317"/>
  <c r="W317"/>
  <c r="X317"/>
  <c r="Y317"/>
  <c r="U318"/>
  <c r="V318"/>
  <c r="W318"/>
  <c r="X318"/>
  <c r="Y318"/>
  <c r="U319"/>
  <c r="V319"/>
  <c r="W319"/>
  <c r="X319"/>
  <c r="Y319"/>
  <c r="U320"/>
  <c r="V320"/>
  <c r="W320"/>
  <c r="X320"/>
  <c r="Y320"/>
  <c r="U321"/>
  <c r="V321"/>
  <c r="W321"/>
  <c r="X321"/>
  <c r="Y321"/>
  <c r="U322"/>
  <c r="V322"/>
  <c r="W322"/>
  <c r="X322"/>
  <c r="Y322"/>
  <c r="U323"/>
  <c r="V323"/>
  <c r="W323"/>
  <c r="X323"/>
  <c r="Y323"/>
  <c r="U324"/>
  <c r="V324"/>
  <c r="W324"/>
  <c r="X324"/>
  <c r="Y324"/>
  <c r="U325"/>
  <c r="V325"/>
  <c r="W325"/>
  <c r="X325"/>
  <c r="Y325"/>
  <c r="U326"/>
  <c r="V326"/>
  <c r="W326"/>
  <c r="X326"/>
  <c r="Y326"/>
  <c r="U327"/>
  <c r="V327"/>
  <c r="W327"/>
  <c r="X327"/>
  <c r="Y327"/>
  <c r="U328"/>
  <c r="V328"/>
  <c r="W328"/>
  <c r="X328"/>
  <c r="Y328"/>
  <c r="U329"/>
  <c r="V329"/>
  <c r="W329"/>
  <c r="X329"/>
  <c r="Y329"/>
  <c r="U330"/>
  <c r="V330"/>
  <c r="W330"/>
  <c r="X330"/>
  <c r="Y330"/>
  <c r="U331"/>
  <c r="V331"/>
  <c r="W331"/>
  <c r="X331"/>
  <c r="Y331"/>
  <c r="U332"/>
  <c r="V332"/>
  <c r="W332"/>
  <c r="X332"/>
  <c r="Y332"/>
  <c r="U333"/>
  <c r="V333"/>
  <c r="W333"/>
  <c r="X333"/>
  <c r="Y333"/>
  <c r="U334"/>
  <c r="V334"/>
  <c r="W334"/>
  <c r="X334"/>
  <c r="Y334"/>
  <c r="U335"/>
  <c r="V335"/>
  <c r="W335"/>
  <c r="X335"/>
  <c r="Y335"/>
  <c r="U336"/>
  <c r="V336"/>
  <c r="W336"/>
  <c r="X336"/>
  <c r="Y336"/>
  <c r="U337"/>
  <c r="V337"/>
  <c r="W337"/>
  <c r="X337"/>
  <c r="Y337"/>
  <c r="U338"/>
  <c r="V338"/>
  <c r="W338"/>
  <c r="X338"/>
  <c r="Y338"/>
  <c r="U339"/>
  <c r="V339"/>
  <c r="W339"/>
  <c r="X339"/>
  <c r="Y339"/>
  <c r="U340"/>
  <c r="V340"/>
  <c r="W340"/>
  <c r="X340"/>
  <c r="Y340"/>
  <c r="U341"/>
  <c r="V341"/>
  <c r="W341"/>
  <c r="X341"/>
  <c r="Y341"/>
  <c r="U342"/>
  <c r="V342"/>
  <c r="W342"/>
  <c r="X342"/>
  <c r="Y342"/>
  <c r="U343"/>
  <c r="V343"/>
  <c r="W343"/>
  <c r="X343"/>
  <c r="Y343"/>
  <c r="U344"/>
  <c r="V344"/>
  <c r="W344"/>
  <c r="X344"/>
  <c r="Y344"/>
  <c r="U345"/>
  <c r="V345"/>
  <c r="W345"/>
  <c r="X345"/>
  <c r="Y345"/>
  <c r="V316"/>
  <c r="W316"/>
  <c r="X316"/>
  <c r="Y316"/>
  <c r="U316"/>
  <c r="L317"/>
  <c r="M317"/>
  <c r="N317"/>
  <c r="O317"/>
  <c r="P317"/>
  <c r="L318"/>
  <c r="M318"/>
  <c r="N318"/>
  <c r="O318"/>
  <c r="P318"/>
  <c r="L319"/>
  <c r="M319"/>
  <c r="N319"/>
  <c r="O319"/>
  <c r="P319"/>
  <c r="L320"/>
  <c r="M320"/>
  <c r="N320"/>
  <c r="O320"/>
  <c r="P320"/>
  <c r="L321"/>
  <c r="M321"/>
  <c r="N321"/>
  <c r="O321"/>
  <c r="P321"/>
  <c r="L322"/>
  <c r="M322"/>
  <c r="N322"/>
  <c r="O322"/>
  <c r="P322"/>
  <c r="L323"/>
  <c r="M323"/>
  <c r="N323"/>
  <c r="O323"/>
  <c r="P323"/>
  <c r="L324"/>
  <c r="M324"/>
  <c r="N324"/>
  <c r="O324"/>
  <c r="P324"/>
  <c r="L325"/>
  <c r="M325"/>
  <c r="N325"/>
  <c r="O325"/>
  <c r="P325"/>
  <c r="L326"/>
  <c r="M326"/>
  <c r="N326"/>
  <c r="O326"/>
  <c r="P326"/>
  <c r="L327"/>
  <c r="M327"/>
  <c r="N327"/>
  <c r="O327"/>
  <c r="P327"/>
  <c r="L328"/>
  <c r="M328"/>
  <c r="N328"/>
  <c r="O328"/>
  <c r="P328"/>
  <c r="L329"/>
  <c r="M329"/>
  <c r="N329"/>
  <c r="O329"/>
  <c r="P329"/>
  <c r="L330"/>
  <c r="M330"/>
  <c r="N330"/>
  <c r="O330"/>
  <c r="P330"/>
  <c r="L331"/>
  <c r="M331"/>
  <c r="N331"/>
  <c r="O331"/>
  <c r="P331"/>
  <c r="L332"/>
  <c r="M332"/>
  <c r="N332"/>
  <c r="O332"/>
  <c r="P332"/>
  <c r="L333"/>
  <c r="M333"/>
  <c r="N333"/>
  <c r="O333"/>
  <c r="P333"/>
  <c r="L334"/>
  <c r="M334"/>
  <c r="N334"/>
  <c r="O334"/>
  <c r="P334"/>
  <c r="L335"/>
  <c r="M335"/>
  <c r="N335"/>
  <c r="O335"/>
  <c r="P335"/>
  <c r="L336"/>
  <c r="M336"/>
  <c r="N336"/>
  <c r="O336"/>
  <c r="P336"/>
  <c r="L337"/>
  <c r="M337"/>
  <c r="N337"/>
  <c r="O337"/>
  <c r="P337"/>
  <c r="L338"/>
  <c r="M338"/>
  <c r="N338"/>
  <c r="O338"/>
  <c r="P338"/>
  <c r="L339"/>
  <c r="M339"/>
  <c r="N339"/>
  <c r="O339"/>
  <c r="P339"/>
  <c r="L340"/>
  <c r="M340"/>
  <c r="N340"/>
  <c r="O340"/>
  <c r="P340"/>
  <c r="L341"/>
  <c r="M341"/>
  <c r="N341"/>
  <c r="O341"/>
  <c r="P341"/>
  <c r="L342"/>
  <c r="M342"/>
  <c r="N342"/>
  <c r="O342"/>
  <c r="P342"/>
  <c r="L343"/>
  <c r="M343"/>
  <c r="N343"/>
  <c r="O343"/>
  <c r="P343"/>
  <c r="L344"/>
  <c r="M344"/>
  <c r="N344"/>
  <c r="O344"/>
  <c r="P344"/>
  <c r="L345"/>
  <c r="M345"/>
  <c r="N345"/>
  <c r="O345"/>
  <c r="P345"/>
  <c r="M316"/>
  <c r="N316"/>
  <c r="O316"/>
  <c r="P316"/>
  <c r="L316"/>
  <c r="D243"/>
  <c r="D244"/>
  <c r="D245"/>
  <c r="D246"/>
  <c r="D247"/>
  <c r="D248"/>
  <c r="D249"/>
  <c r="D250"/>
  <c r="D251"/>
  <c r="D252"/>
  <c r="D253"/>
  <c r="D254"/>
  <c r="D255"/>
  <c r="D256"/>
  <c r="D257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C243"/>
  <c r="J333" i="2"/>
  <c r="R333"/>
  <c r="Z333"/>
  <c r="AH333"/>
  <c r="AP333"/>
  <c r="L291"/>
  <c r="V291"/>
  <c r="AF291"/>
  <c r="AP291"/>
  <c r="AZ291"/>
  <c r="D514" i="1"/>
  <c r="F514"/>
  <c r="D513"/>
  <c r="F513"/>
  <c r="B217" i="2"/>
  <c r="K180"/>
  <c r="T180"/>
  <c r="AC180"/>
  <c r="AL180"/>
  <c r="AU180"/>
  <c r="D600" i="1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B628"/>
  <c r="B665"/>
  <c r="I555"/>
  <c r="AQ144" i="2"/>
  <c r="I554" i="1"/>
  <c r="AQ143" i="2"/>
  <c r="I553" i="1"/>
  <c r="I552"/>
  <c r="AQ141" i="2"/>
  <c r="I551" i="1"/>
  <c r="AQ140" i="2"/>
  <c r="AU140"/>
  <c r="I550" i="1"/>
  <c r="AQ139" i="2"/>
  <c r="AU139"/>
  <c r="I549" i="1"/>
  <c r="I548"/>
  <c r="AQ137" i="2"/>
  <c r="AU137"/>
  <c r="I547" i="1"/>
  <c r="AQ136" i="2"/>
  <c r="AU136"/>
  <c r="I546" i="1"/>
  <c r="AQ135" i="2"/>
  <c r="AU135"/>
  <c r="I545" i="1"/>
  <c r="I544"/>
  <c r="AQ133" i="2"/>
  <c r="AU133"/>
  <c r="I543" i="1"/>
  <c r="AQ132" i="2"/>
  <c r="AU132"/>
  <c r="I542" i="1"/>
  <c r="AQ131" i="2"/>
  <c r="AU131"/>
  <c r="I541" i="1"/>
  <c r="I540"/>
  <c r="AQ129" i="2"/>
  <c r="AU129"/>
  <c r="I539" i="1"/>
  <c r="AQ128" i="2"/>
  <c r="AU128"/>
  <c r="I538" i="1"/>
  <c r="AQ127" i="2"/>
  <c r="AU127"/>
  <c r="I537" i="1"/>
  <c r="I536"/>
  <c r="AQ125" i="2"/>
  <c r="AU125"/>
  <c r="I535" i="1"/>
  <c r="AQ124" i="2"/>
  <c r="AU124"/>
  <c r="I534" i="1"/>
  <c r="AQ123" i="2"/>
  <c r="AU123"/>
  <c r="I533" i="1"/>
  <c r="I532"/>
  <c r="AQ121" i="2"/>
  <c r="AU121"/>
  <c r="I531" i="1"/>
  <c r="AQ120" i="2"/>
  <c r="AU120"/>
  <c r="I530" i="1"/>
  <c r="AQ119" i="2"/>
  <c r="AU119"/>
  <c r="I529" i="1"/>
  <c r="I528"/>
  <c r="AQ117" i="2"/>
  <c r="AU117"/>
  <c r="I527" i="1"/>
  <c r="AQ116" i="2"/>
  <c r="AU116"/>
  <c r="I526" i="1"/>
  <c r="AQ115" i="2"/>
  <c r="AU115"/>
  <c r="I525" i="1"/>
  <c r="F507"/>
  <c r="BA273" i="2"/>
  <c r="BB125"/>
  <c r="BA265"/>
  <c r="BB117"/>
  <c r="BA277"/>
  <c r="BB129"/>
  <c r="BA285"/>
  <c r="BB137"/>
  <c r="BA263"/>
  <c r="BB115"/>
  <c r="BA271"/>
  <c r="BB123"/>
  <c r="BA283"/>
  <c r="BB135"/>
  <c r="BA287"/>
  <c r="BB139"/>
  <c r="BA269"/>
  <c r="BB121"/>
  <c r="BA281"/>
  <c r="BB133"/>
  <c r="BA267"/>
  <c r="BB119"/>
  <c r="BA275"/>
  <c r="BB127"/>
  <c r="BA279"/>
  <c r="BB131"/>
  <c r="BA264"/>
  <c r="BB116"/>
  <c r="BA268"/>
  <c r="BB120"/>
  <c r="BA272"/>
  <c r="BB124"/>
  <c r="BA276"/>
  <c r="BB128"/>
  <c r="BA280"/>
  <c r="BB132"/>
  <c r="BA284"/>
  <c r="BB136"/>
  <c r="BA288"/>
  <c r="BB140"/>
  <c r="T248" i="1"/>
  <c r="S249"/>
  <c r="R50" i="2"/>
  <c r="AI122"/>
  <c r="AQ122"/>
  <c r="AU122"/>
  <c r="AI130"/>
  <c r="AQ130"/>
  <c r="AU130"/>
  <c r="AI138"/>
  <c r="AQ138"/>
  <c r="AU138"/>
  <c r="I243" i="1"/>
  <c r="AV177" i="2"/>
  <c r="AV164"/>
  <c r="AV169"/>
  <c r="AV175"/>
  <c r="AV176"/>
  <c r="AV170"/>
  <c r="AV163"/>
  <c r="AV165"/>
  <c r="AV171"/>
  <c r="AV172"/>
  <c r="AV167"/>
  <c r="AV168"/>
  <c r="AV173"/>
  <c r="AV166"/>
  <c r="AV174"/>
  <c r="AV161"/>
  <c r="AV157"/>
  <c r="AV153"/>
  <c r="AV160"/>
  <c r="AV156"/>
  <c r="AV152"/>
  <c r="AV159"/>
  <c r="AV155"/>
  <c r="AV158"/>
  <c r="AV154"/>
  <c r="AV162"/>
  <c r="AI118"/>
  <c r="AQ118"/>
  <c r="AU118"/>
  <c r="AI126"/>
  <c r="AQ126"/>
  <c r="AU126"/>
  <c r="AI134"/>
  <c r="AQ134"/>
  <c r="AU134"/>
  <c r="AI142"/>
  <c r="AQ142"/>
  <c r="AZ152"/>
  <c r="N250" i="1"/>
  <c r="T249"/>
  <c r="AC140" i="2"/>
  <c r="N260" i="1"/>
  <c r="H250"/>
  <c r="H51" i="2"/>
  <c r="L32" i="4"/>
  <c r="G43"/>
  <c r="AK115" i="2"/>
  <c r="V39" i="4"/>
  <c r="C8" i="3"/>
  <c r="C244" i="1"/>
  <c r="I244"/>
  <c r="D258"/>
  <c r="D259"/>
  <c r="D260"/>
  <c r="D261"/>
  <c r="D262"/>
  <c r="D263"/>
  <c r="D264"/>
  <c r="D265"/>
  <c r="D266"/>
  <c r="D267"/>
  <c r="D268"/>
  <c r="D269"/>
  <c r="D270"/>
  <c r="D271"/>
  <c r="F25" i="4"/>
  <c r="F26"/>
  <c r="M177" i="2"/>
  <c r="L251"/>
  <c r="N140"/>
  <c r="AK140"/>
  <c r="E115"/>
  <c r="E125"/>
  <c r="AG398" i="1"/>
  <c r="F291"/>
  <c r="AD125" i="2"/>
  <c r="U125"/>
  <c r="Z31" i="3"/>
  <c r="Z19"/>
  <c r="AE162" i="2"/>
  <c r="AB236"/>
  <c r="AC125"/>
  <c r="Z36" i="3"/>
  <c r="U115" i="2"/>
  <c r="V152"/>
  <c r="T226"/>
  <c r="Z18" i="3"/>
  <c r="AH413" i="1"/>
  <c r="G306"/>
  <c r="Z23" i="3"/>
  <c r="AE152" i="2"/>
  <c r="AB226"/>
  <c r="AC115"/>
  <c r="E140"/>
  <c r="Z34" i="3"/>
  <c r="Z29"/>
  <c r="Z25"/>
  <c r="Z21"/>
  <c r="AK125" i="2"/>
  <c r="Z37" i="3"/>
  <c r="Z32"/>
  <c r="Z28"/>
  <c r="Z24"/>
  <c r="Z20"/>
  <c r="AD398" i="1"/>
  <c r="C291"/>
  <c r="V177" i="2"/>
  <c r="T251"/>
  <c r="U140"/>
  <c r="Z30" i="3"/>
  <c r="Z26"/>
  <c r="Z22"/>
  <c r="M125" i="2"/>
  <c r="F115"/>
  <c r="AH388" i="1"/>
  <c r="G281"/>
  <c r="N115" i="2"/>
  <c r="AD115"/>
  <c r="AM162"/>
  <c r="AI236"/>
  <c r="AM177"/>
  <c r="AI251"/>
  <c r="AD152"/>
  <c r="AA226"/>
  <c r="U152"/>
  <c r="S226"/>
  <c r="L162"/>
  <c r="K236"/>
  <c r="L177"/>
  <c r="K251"/>
  <c r="C162"/>
  <c r="C236"/>
  <c r="C177"/>
  <c r="C251"/>
  <c r="AM152"/>
  <c r="AD162"/>
  <c r="AA236"/>
  <c r="AI115"/>
  <c r="AA115"/>
  <c r="S115"/>
  <c r="K115"/>
  <c r="C115"/>
  <c r="AI117"/>
  <c r="AA117"/>
  <c r="S117"/>
  <c r="K117"/>
  <c r="C117"/>
  <c r="AI119"/>
  <c r="AA119"/>
  <c r="S119"/>
  <c r="K119"/>
  <c r="C119"/>
  <c r="AI121"/>
  <c r="AA121"/>
  <c r="S121"/>
  <c r="K121"/>
  <c r="C121"/>
  <c r="AI123"/>
  <c r="AA123"/>
  <c r="S123"/>
  <c r="K123"/>
  <c r="C123"/>
  <c r="AI125"/>
  <c r="AA125"/>
  <c r="S125"/>
  <c r="K125"/>
  <c r="C125"/>
  <c r="AI127"/>
  <c r="AA127"/>
  <c r="S127"/>
  <c r="K127"/>
  <c r="C127"/>
  <c r="AI129"/>
  <c r="AA129"/>
  <c r="S129"/>
  <c r="K129"/>
  <c r="C129"/>
  <c r="AI131"/>
  <c r="AA131"/>
  <c r="S131"/>
  <c r="K131"/>
  <c r="C131"/>
  <c r="AI133"/>
  <c r="AA133"/>
  <c r="S133"/>
  <c r="K133"/>
  <c r="C133"/>
  <c r="AI135"/>
  <c r="AA135"/>
  <c r="S135"/>
  <c r="K135"/>
  <c r="C135"/>
  <c r="AI137"/>
  <c r="AA137"/>
  <c r="S137"/>
  <c r="K137"/>
  <c r="C137"/>
  <c r="AI139"/>
  <c r="AA139"/>
  <c r="S139"/>
  <c r="K139"/>
  <c r="C139"/>
  <c r="AI141"/>
  <c r="AA141"/>
  <c r="S141"/>
  <c r="K141"/>
  <c r="C141"/>
  <c r="AI143"/>
  <c r="AA143"/>
  <c r="S143"/>
  <c r="K143"/>
  <c r="C143"/>
  <c r="C138"/>
  <c r="C144"/>
  <c r="C140"/>
  <c r="C136"/>
  <c r="C132"/>
  <c r="C128"/>
  <c r="C124"/>
  <c r="C120"/>
  <c r="C116"/>
  <c r="K118"/>
  <c r="K122"/>
  <c r="K126"/>
  <c r="K130"/>
  <c r="K134"/>
  <c r="K138"/>
  <c r="K142"/>
  <c r="S116"/>
  <c r="S120"/>
  <c r="S124"/>
  <c r="S128"/>
  <c r="S132"/>
  <c r="S136"/>
  <c r="S140"/>
  <c r="S144"/>
  <c r="AA118"/>
  <c r="AA122"/>
  <c r="AA126"/>
  <c r="AA130"/>
  <c r="AA134"/>
  <c r="AA138"/>
  <c r="AA142"/>
  <c r="AI116"/>
  <c r="AI120"/>
  <c r="AI124"/>
  <c r="AI128"/>
  <c r="AI132"/>
  <c r="AI136"/>
  <c r="AI140"/>
  <c r="AI144"/>
  <c r="C152"/>
  <c r="C226"/>
  <c r="L152"/>
  <c r="K226"/>
  <c r="U162"/>
  <c r="S236"/>
  <c r="AQ152"/>
  <c r="AG152"/>
  <c r="AH152"/>
  <c r="G152"/>
  <c r="C142"/>
  <c r="C134"/>
  <c r="C130"/>
  <c r="C126"/>
  <c r="C122"/>
  <c r="C118"/>
  <c r="K116"/>
  <c r="K120"/>
  <c r="K124"/>
  <c r="K128"/>
  <c r="K132"/>
  <c r="K136"/>
  <c r="K140"/>
  <c r="K144"/>
  <c r="S118"/>
  <c r="S122"/>
  <c r="S126"/>
  <c r="S130"/>
  <c r="S134"/>
  <c r="S138"/>
  <c r="S142"/>
  <c r="AA116"/>
  <c r="AA120"/>
  <c r="AA124"/>
  <c r="AA128"/>
  <c r="AA132"/>
  <c r="AA136"/>
  <c r="AA140"/>
  <c r="AA144"/>
  <c r="P152"/>
  <c r="X152"/>
  <c r="Y152"/>
  <c r="J217"/>
  <c r="R217"/>
  <c r="Z217"/>
  <c r="AH217"/>
  <c r="AP217"/>
  <c r="BA270"/>
  <c r="BB122"/>
  <c r="BA274"/>
  <c r="BB126"/>
  <c r="BA286"/>
  <c r="BB138"/>
  <c r="BA278"/>
  <c r="BB130"/>
  <c r="BA282"/>
  <c r="BB134"/>
  <c r="BA266"/>
  <c r="BB118"/>
  <c r="AI226"/>
  <c r="AX154"/>
  <c r="AQ228"/>
  <c r="AQ191"/>
  <c r="AX155"/>
  <c r="AQ229"/>
  <c r="AQ192"/>
  <c r="AX152"/>
  <c r="BA152"/>
  <c r="AQ226"/>
  <c r="AQ189"/>
  <c r="AX160"/>
  <c r="AQ234"/>
  <c r="AQ197"/>
  <c r="AX157"/>
  <c r="AQ231"/>
  <c r="AQ194"/>
  <c r="AX174"/>
  <c r="AQ248"/>
  <c r="AQ211"/>
  <c r="AX173"/>
  <c r="AQ247"/>
  <c r="AQ210"/>
  <c r="AX167"/>
  <c r="AQ241"/>
  <c r="AQ204"/>
  <c r="AX171"/>
  <c r="AQ245"/>
  <c r="AQ208"/>
  <c r="AX163"/>
  <c r="AQ237"/>
  <c r="AQ200"/>
  <c r="AX176"/>
  <c r="AQ250"/>
  <c r="AQ213"/>
  <c r="AX169"/>
  <c r="AQ243"/>
  <c r="AQ206"/>
  <c r="AX177"/>
  <c r="AQ251"/>
  <c r="AQ214"/>
  <c r="AX162"/>
  <c r="AQ236"/>
  <c r="AQ199"/>
  <c r="AX158"/>
  <c r="AQ232"/>
  <c r="AQ195"/>
  <c r="AX159"/>
  <c r="AQ233"/>
  <c r="AQ196"/>
  <c r="AX156"/>
  <c r="AQ230"/>
  <c r="AQ193"/>
  <c r="AX153"/>
  <c r="AQ227"/>
  <c r="AQ190"/>
  <c r="AX161"/>
  <c r="AQ235"/>
  <c r="AQ198"/>
  <c r="AX166"/>
  <c r="AQ240"/>
  <c r="AQ203"/>
  <c r="AX168"/>
  <c r="AQ242"/>
  <c r="AQ205"/>
  <c r="AX172"/>
  <c r="AQ246"/>
  <c r="AQ209"/>
  <c r="AX165"/>
  <c r="AQ239"/>
  <c r="AQ202"/>
  <c r="AX170"/>
  <c r="AQ244"/>
  <c r="AQ207"/>
  <c r="AX175"/>
  <c r="AQ249"/>
  <c r="AQ212"/>
  <c r="AX164"/>
  <c r="AQ238"/>
  <c r="AQ201"/>
  <c r="S250" i="1"/>
  <c r="R51" i="2"/>
  <c r="D125"/>
  <c r="AJ140"/>
  <c r="AB125"/>
  <c r="AE125"/>
  <c r="AJ115"/>
  <c r="G57" i="4"/>
  <c r="G49"/>
  <c r="G58"/>
  <c r="N261" i="1"/>
  <c r="N251"/>
  <c r="G50" i="4"/>
  <c r="G41"/>
  <c r="G42"/>
  <c r="H251" i="1"/>
  <c r="H52" i="2"/>
  <c r="G66" i="4"/>
  <c r="G65"/>
  <c r="G64"/>
  <c r="G56"/>
  <c r="G48"/>
  <c r="G40"/>
  <c r="G63"/>
  <c r="G55"/>
  <c r="G47"/>
  <c r="G62"/>
  <c r="G54"/>
  <c r="G46"/>
  <c r="G39"/>
  <c r="Y39"/>
  <c r="F8" i="3"/>
  <c r="G61" i="4"/>
  <c r="G53"/>
  <c r="G45"/>
  <c r="G68"/>
  <c r="G60"/>
  <c r="G52"/>
  <c r="G44"/>
  <c r="G67"/>
  <c r="G59"/>
  <c r="G51"/>
  <c r="C245" i="1"/>
  <c r="I245"/>
  <c r="N177" i="2"/>
  <c r="K214"/>
  <c r="N214"/>
  <c r="K189"/>
  <c r="N189"/>
  <c r="F39" i="4"/>
  <c r="X39"/>
  <c r="E8" i="3"/>
  <c r="F57" i="4"/>
  <c r="F56"/>
  <c r="F51"/>
  <c r="F46"/>
  <c r="F40"/>
  <c r="F41"/>
  <c r="F67"/>
  <c r="F62"/>
  <c r="F54"/>
  <c r="F43"/>
  <c r="F59"/>
  <c r="F48"/>
  <c r="F64"/>
  <c r="F49"/>
  <c r="F65"/>
  <c r="F42"/>
  <c r="F50"/>
  <c r="F58"/>
  <c r="F66"/>
  <c r="F47"/>
  <c r="F55"/>
  <c r="F63"/>
  <c r="F44"/>
  <c r="F52"/>
  <c r="F60"/>
  <c r="F68"/>
  <c r="F45"/>
  <c r="F53"/>
  <c r="F61"/>
  <c r="N152" i="2"/>
  <c r="Q152"/>
  <c r="AF152"/>
  <c r="AI152"/>
  <c r="AA199"/>
  <c r="AD199"/>
  <c r="S189"/>
  <c r="V189"/>
  <c r="W152"/>
  <c r="Z152"/>
  <c r="AE398" i="1"/>
  <c r="D291"/>
  <c r="F125" i="2"/>
  <c r="D162"/>
  <c r="C199"/>
  <c r="D199"/>
  <c r="AF162"/>
  <c r="AF388" i="1"/>
  <c r="E281"/>
  <c r="AD388"/>
  <c r="D152" i="2"/>
  <c r="D226"/>
  <c r="AN152"/>
  <c r="AJ226"/>
  <c r="AL115"/>
  <c r="M140"/>
  <c r="AE413" i="1"/>
  <c r="D306"/>
  <c r="AE177" i="2"/>
  <c r="AB251"/>
  <c r="AD140"/>
  <c r="M115"/>
  <c r="AE388" i="1"/>
  <c r="D281"/>
  <c r="AF398"/>
  <c r="E291"/>
  <c r="AA189" i="2"/>
  <c r="AB189"/>
  <c r="U177"/>
  <c r="M162"/>
  <c r="L236"/>
  <c r="N125"/>
  <c r="AG388" i="1"/>
  <c r="F281"/>
  <c r="AF413"/>
  <c r="E306"/>
  <c r="AL125" i="2"/>
  <c r="AN162"/>
  <c r="V140"/>
  <c r="AD413" i="1"/>
  <c r="C306"/>
  <c r="V115" i="2"/>
  <c r="AD177"/>
  <c r="F140"/>
  <c r="D177"/>
  <c r="AG413" i="1"/>
  <c r="F306"/>
  <c r="AH398"/>
  <c r="G291"/>
  <c r="AL140" i="2"/>
  <c r="AN177"/>
  <c r="AJ251"/>
  <c r="V162"/>
  <c r="T236"/>
  <c r="V125"/>
  <c r="BB263"/>
  <c r="BH152"/>
  <c r="AH263"/>
  <c r="BF152"/>
  <c r="X263"/>
  <c r="BE152"/>
  <c r="N263"/>
  <c r="BD152"/>
  <c r="AG273"/>
  <c r="AZ125"/>
  <c r="AO162"/>
  <c r="AJ236"/>
  <c r="AT201"/>
  <c r="AS201"/>
  <c r="AR201"/>
  <c r="AT207"/>
  <c r="AS207"/>
  <c r="AR207"/>
  <c r="AT209"/>
  <c r="AS209"/>
  <c r="AR209"/>
  <c r="AT203"/>
  <c r="AS203"/>
  <c r="AR203"/>
  <c r="AT190"/>
  <c r="AS190"/>
  <c r="AR190"/>
  <c r="AT196"/>
  <c r="AS196"/>
  <c r="AR196"/>
  <c r="AT199"/>
  <c r="AS199"/>
  <c r="AR199"/>
  <c r="AT214"/>
  <c r="AS214"/>
  <c r="AR214"/>
  <c r="AT213"/>
  <c r="AS213"/>
  <c r="AR213"/>
  <c r="AT208"/>
  <c r="AS208"/>
  <c r="AR208"/>
  <c r="AT210"/>
  <c r="AS210"/>
  <c r="AR210"/>
  <c r="AT194"/>
  <c r="AS194"/>
  <c r="AR194"/>
  <c r="AT189"/>
  <c r="AS189"/>
  <c r="AR189"/>
  <c r="AT191"/>
  <c r="AS191"/>
  <c r="AR191"/>
  <c r="AT212"/>
  <c r="AS212"/>
  <c r="AR212"/>
  <c r="AT202"/>
  <c r="AS202"/>
  <c r="AR202"/>
  <c r="AT205"/>
  <c r="AS205"/>
  <c r="AR205"/>
  <c r="AT198"/>
  <c r="AS198"/>
  <c r="AR198"/>
  <c r="AT193"/>
  <c r="AS193"/>
  <c r="AR193"/>
  <c r="AT195"/>
  <c r="AS195"/>
  <c r="AR195"/>
  <c r="AT206"/>
  <c r="AS206"/>
  <c r="AR206"/>
  <c r="AT200"/>
  <c r="AS200"/>
  <c r="AR200"/>
  <c r="AT204"/>
  <c r="AS204"/>
  <c r="AR204"/>
  <c r="AT211"/>
  <c r="AS211"/>
  <c r="AR211"/>
  <c r="AT197"/>
  <c r="AS197"/>
  <c r="AR197"/>
  <c r="AT192"/>
  <c r="AS192"/>
  <c r="AR192"/>
  <c r="AI189"/>
  <c r="AJ189"/>
  <c r="G125"/>
  <c r="S251" i="1"/>
  <c r="R52" i="2"/>
  <c r="T250" i="1"/>
  <c r="D140" i="2"/>
  <c r="G140"/>
  <c r="L125"/>
  <c r="P306" i="1"/>
  <c r="Y306"/>
  <c r="Y33" i="3"/>
  <c r="T125" i="2"/>
  <c r="W125"/>
  <c r="AJ125"/>
  <c r="AM125"/>
  <c r="O291" i="1"/>
  <c r="X18" i="3"/>
  <c r="X291" i="1"/>
  <c r="U291"/>
  <c r="L291"/>
  <c r="U18" i="3"/>
  <c r="AM140" i="2"/>
  <c r="AB140"/>
  <c r="AE140"/>
  <c r="T140"/>
  <c r="W140"/>
  <c r="L140"/>
  <c r="O140"/>
  <c r="AM115"/>
  <c r="AB115"/>
  <c r="AE115"/>
  <c r="T115"/>
  <c r="W115"/>
  <c r="P281" i="1"/>
  <c r="Y8" i="3"/>
  <c r="Y281" i="1"/>
  <c r="D115" i="2"/>
  <c r="G115"/>
  <c r="C281" i="1"/>
  <c r="L115" i="2"/>
  <c r="O115"/>
  <c r="N262" i="1"/>
  <c r="N252"/>
  <c r="T251"/>
  <c r="H252"/>
  <c r="H53" i="2"/>
  <c r="M189"/>
  <c r="L214"/>
  <c r="AB199"/>
  <c r="M214"/>
  <c r="AC199"/>
  <c r="C246" i="1"/>
  <c r="I246"/>
  <c r="L189" i="2"/>
  <c r="U189"/>
  <c r="C189"/>
  <c r="E189"/>
  <c r="K199"/>
  <c r="O125"/>
  <c r="T189"/>
  <c r="E152"/>
  <c r="H152"/>
  <c r="E199"/>
  <c r="AO152"/>
  <c r="AR152"/>
  <c r="AI214"/>
  <c r="AK214"/>
  <c r="D236"/>
  <c r="E162"/>
  <c r="AO177"/>
  <c r="S251"/>
  <c r="S214"/>
  <c r="W177"/>
  <c r="W162"/>
  <c r="AA251"/>
  <c r="AF177"/>
  <c r="AA214"/>
  <c r="D251"/>
  <c r="C214"/>
  <c r="F199"/>
  <c r="N162"/>
  <c r="S199"/>
  <c r="AI199"/>
  <c r="E177"/>
  <c r="AD189"/>
  <c r="AC189"/>
  <c r="C273"/>
  <c r="AW125"/>
  <c r="D263"/>
  <c r="BC152"/>
  <c r="C263"/>
  <c r="AW115"/>
  <c r="W263"/>
  <c r="AY115"/>
  <c r="W288"/>
  <c r="AY140"/>
  <c r="C288"/>
  <c r="AW140"/>
  <c r="AG263"/>
  <c r="AZ115"/>
  <c r="AG288"/>
  <c r="AZ140"/>
  <c r="AQ273"/>
  <c r="BA125"/>
  <c r="M288"/>
  <c r="AX140"/>
  <c r="AR263"/>
  <c r="BG152"/>
  <c r="M273"/>
  <c r="AX125"/>
  <c r="M263"/>
  <c r="AX115"/>
  <c r="AQ263"/>
  <c r="BA115"/>
  <c r="AQ288"/>
  <c r="BA140"/>
  <c r="W273"/>
  <c r="AY125"/>
  <c r="AU192"/>
  <c r="AU211"/>
  <c r="AU200"/>
  <c r="AU195"/>
  <c r="AU198"/>
  <c r="AU202"/>
  <c r="AU191"/>
  <c r="AU194"/>
  <c r="AU208"/>
  <c r="AU214"/>
  <c r="AU196"/>
  <c r="AU203"/>
  <c r="AU207"/>
  <c r="AU197"/>
  <c r="AU204"/>
  <c r="AU206"/>
  <c r="AU193"/>
  <c r="AU205"/>
  <c r="AU212"/>
  <c r="AU189"/>
  <c r="AU210"/>
  <c r="AU213"/>
  <c r="AU199"/>
  <c r="AU190"/>
  <c r="AU209"/>
  <c r="AU201"/>
  <c r="S252" i="1"/>
  <c r="AD291"/>
  <c r="AH306"/>
  <c r="N306"/>
  <c r="W306"/>
  <c r="W33" i="3"/>
  <c r="P291" i="1"/>
  <c r="Y291"/>
  <c r="Y18" i="3"/>
  <c r="M291" i="1"/>
  <c r="V291"/>
  <c r="V18" i="3"/>
  <c r="AG291" i="1"/>
  <c r="M306"/>
  <c r="V306"/>
  <c r="V33" i="3"/>
  <c r="O306" i="1"/>
  <c r="X306"/>
  <c r="X33" i="3"/>
  <c r="N291" i="1"/>
  <c r="W291"/>
  <c r="W18" i="3"/>
  <c r="L306" i="1"/>
  <c r="U33" i="3"/>
  <c r="U306" i="1"/>
  <c r="N281"/>
  <c r="W281"/>
  <c r="W8" i="3"/>
  <c r="M281" i="1"/>
  <c r="V281"/>
  <c r="V8" i="3"/>
  <c r="O281" i="1"/>
  <c r="X281"/>
  <c r="X8" i="3"/>
  <c r="L281" i="1"/>
  <c r="U8" i="3"/>
  <c r="U281" i="1"/>
  <c r="AH281"/>
  <c r="N263"/>
  <c r="M64" i="2"/>
  <c r="H253" i="1"/>
  <c r="H54" i="2"/>
  <c r="AE199"/>
  <c r="O189"/>
  <c r="O214"/>
  <c r="C247" i="1"/>
  <c r="I247"/>
  <c r="F189" i="2"/>
  <c r="W189"/>
  <c r="AJ214"/>
  <c r="D189"/>
  <c r="AL214"/>
  <c r="G199"/>
  <c r="N199"/>
  <c r="M199"/>
  <c r="L199"/>
  <c r="AL189"/>
  <c r="AK189"/>
  <c r="AE189"/>
  <c r="AL199"/>
  <c r="AK199"/>
  <c r="AJ199"/>
  <c r="V199"/>
  <c r="T199"/>
  <c r="U199"/>
  <c r="V214"/>
  <c r="U214"/>
  <c r="T214"/>
  <c r="D214"/>
  <c r="F214"/>
  <c r="E214"/>
  <c r="AD214"/>
  <c r="AB214"/>
  <c r="AC214"/>
  <c r="O72"/>
  <c r="N72"/>
  <c r="O71"/>
  <c r="N71"/>
  <c r="O70"/>
  <c r="N70"/>
  <c r="O69"/>
  <c r="N69"/>
  <c r="O68"/>
  <c r="N68"/>
  <c r="Q67"/>
  <c r="P67"/>
  <c r="O67"/>
  <c r="N67"/>
  <c r="Q66"/>
  <c r="P66"/>
  <c r="O66"/>
  <c r="N66"/>
  <c r="Q65"/>
  <c r="P65"/>
  <c r="O65"/>
  <c r="N65"/>
  <c r="Q64"/>
  <c r="P64"/>
  <c r="O64"/>
  <c r="N64"/>
  <c r="Q63"/>
  <c r="P63"/>
  <c r="O63"/>
  <c r="N63"/>
  <c r="M63"/>
  <c r="Q62"/>
  <c r="P62"/>
  <c r="O62"/>
  <c r="N62"/>
  <c r="M62"/>
  <c r="Q61"/>
  <c r="P61"/>
  <c r="O61"/>
  <c r="N61"/>
  <c r="M61"/>
  <c r="Q60"/>
  <c r="P60"/>
  <c r="O60"/>
  <c r="N60"/>
  <c r="M60"/>
  <c r="Q59"/>
  <c r="P59"/>
  <c r="O59"/>
  <c r="N59"/>
  <c r="M59"/>
  <c r="O58"/>
  <c r="N58"/>
  <c r="M58"/>
  <c r="O57"/>
  <c r="N57"/>
  <c r="M57"/>
  <c r="O56"/>
  <c r="N56"/>
  <c r="M56"/>
  <c r="O55"/>
  <c r="N55"/>
  <c r="M55"/>
  <c r="O54"/>
  <c r="N54"/>
  <c r="M54"/>
  <c r="O53"/>
  <c r="N53"/>
  <c r="M53"/>
  <c r="O52"/>
  <c r="N52"/>
  <c r="M52"/>
  <c r="O51"/>
  <c r="N51"/>
  <c r="M51"/>
  <c r="O50"/>
  <c r="N50"/>
  <c r="M50"/>
  <c r="O49"/>
  <c r="N49"/>
  <c r="M49"/>
  <c r="O48"/>
  <c r="N48"/>
  <c r="M48"/>
  <c r="O47"/>
  <c r="N47"/>
  <c r="M47"/>
  <c r="O46"/>
  <c r="N46"/>
  <c r="M46"/>
  <c r="O45"/>
  <c r="N45"/>
  <c r="M45"/>
  <c r="O44"/>
  <c r="N44"/>
  <c r="M44"/>
  <c r="O43"/>
  <c r="N43"/>
  <c r="M43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D59"/>
  <c r="E59"/>
  <c r="F59"/>
  <c r="G59"/>
  <c r="D60"/>
  <c r="E60"/>
  <c r="F60"/>
  <c r="G60"/>
  <c r="D61"/>
  <c r="E61"/>
  <c r="F61"/>
  <c r="G61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F68"/>
  <c r="G68"/>
  <c r="F69"/>
  <c r="G69"/>
  <c r="F70"/>
  <c r="G70"/>
  <c r="F71"/>
  <c r="G71"/>
  <c r="F72"/>
  <c r="G72"/>
  <c r="G70" i="1"/>
  <c r="F70"/>
  <c r="B70"/>
  <c r="B242"/>
  <c r="B71"/>
  <c r="B243"/>
  <c r="B72"/>
  <c r="B244"/>
  <c r="B283"/>
  <c r="B318"/>
  <c r="B73"/>
  <c r="B245"/>
  <c r="B284"/>
  <c r="B319"/>
  <c r="B74"/>
  <c r="B246"/>
  <c r="B285"/>
  <c r="B320"/>
  <c r="B75"/>
  <c r="B247"/>
  <c r="B286"/>
  <c r="B321"/>
  <c r="B76"/>
  <c r="B248"/>
  <c r="B287"/>
  <c r="B322"/>
  <c r="B77"/>
  <c r="B249"/>
  <c r="B288"/>
  <c r="B323"/>
  <c r="B78"/>
  <c r="B250"/>
  <c r="B289"/>
  <c r="B324"/>
  <c r="B79"/>
  <c r="B251"/>
  <c r="B290"/>
  <c r="B325"/>
  <c r="B80"/>
  <c r="B252"/>
  <c r="B291"/>
  <c r="B326"/>
  <c r="B81"/>
  <c r="B253"/>
  <c r="B292"/>
  <c r="B327"/>
  <c r="B82"/>
  <c r="B254"/>
  <c r="B293"/>
  <c r="B328"/>
  <c r="B83"/>
  <c r="B255"/>
  <c r="B294"/>
  <c r="B329"/>
  <c r="B84"/>
  <c r="B256"/>
  <c r="B295"/>
  <c r="B330"/>
  <c r="B85"/>
  <c r="B257"/>
  <c r="B296"/>
  <c r="B331"/>
  <c r="B86"/>
  <c r="B258"/>
  <c r="B297"/>
  <c r="B332"/>
  <c r="B87"/>
  <c r="B259"/>
  <c r="B298"/>
  <c r="B333"/>
  <c r="B88"/>
  <c r="B260"/>
  <c r="B299"/>
  <c r="B334"/>
  <c r="B89"/>
  <c r="B261"/>
  <c r="B300"/>
  <c r="B335"/>
  <c r="B90"/>
  <c r="B262"/>
  <c r="B301"/>
  <c r="B336"/>
  <c r="B91"/>
  <c r="B263"/>
  <c r="B302"/>
  <c r="B337"/>
  <c r="B92"/>
  <c r="B264"/>
  <c r="B303"/>
  <c r="B338"/>
  <c r="B93"/>
  <c r="B265"/>
  <c r="B304"/>
  <c r="B339"/>
  <c r="B94"/>
  <c r="B266"/>
  <c r="B305"/>
  <c r="B340"/>
  <c r="B95"/>
  <c r="B267"/>
  <c r="B306"/>
  <c r="B341"/>
  <c r="B96"/>
  <c r="B268"/>
  <c r="B307"/>
  <c r="B342"/>
  <c r="B97"/>
  <c r="K97"/>
  <c r="B98"/>
  <c r="B270"/>
  <c r="B309"/>
  <c r="B99"/>
  <c r="K99"/>
  <c r="B69"/>
  <c r="B166"/>
  <c r="B202"/>
  <c r="K202"/>
  <c r="D45"/>
  <c r="D44"/>
  <c r="O1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T14"/>
  <c r="T15"/>
  <c r="S14"/>
  <c r="S15"/>
  <c r="R14"/>
  <c r="R15"/>
  <c r="J14"/>
  <c r="O13"/>
  <c r="K13"/>
  <c r="J13"/>
  <c r="H13"/>
  <c r="O12"/>
  <c r="K12"/>
  <c r="J12"/>
  <c r="H12"/>
  <c r="O11"/>
  <c r="K11"/>
  <c r="AY153" i="2"/>
  <c r="J11" i="1"/>
  <c r="H1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K10"/>
  <c r="L10"/>
  <c r="J10"/>
  <c r="H70"/>
  <c r="H203"/>
  <c r="H10"/>
  <c r="E10"/>
  <c r="E11"/>
  <c r="O9"/>
  <c r="K9"/>
  <c r="J9"/>
  <c r="H9"/>
  <c r="AI263" i="2"/>
  <c r="AZ189"/>
  <c r="R53"/>
  <c r="S253" i="1"/>
  <c r="BC264" i="2"/>
  <c r="BB190"/>
  <c r="BC263"/>
  <c r="BB189"/>
  <c r="BC280"/>
  <c r="BB206"/>
  <c r="BC277"/>
  <c r="BB203"/>
  <c r="BC268"/>
  <c r="BB194"/>
  <c r="BC269"/>
  <c r="BB195"/>
  <c r="O288"/>
  <c r="AX214"/>
  <c r="BC273"/>
  <c r="BB199"/>
  <c r="BC286"/>
  <c r="BB212"/>
  <c r="BC278"/>
  <c r="BB204"/>
  <c r="BC270"/>
  <c r="BB196"/>
  <c r="BC265"/>
  <c r="BB191"/>
  <c r="BC274"/>
  <c r="BB200"/>
  <c r="E273"/>
  <c r="AW199"/>
  <c r="Y263"/>
  <c r="AY189"/>
  <c r="O263"/>
  <c r="AX189"/>
  <c r="BC275"/>
  <c r="BB201"/>
  <c r="BC287"/>
  <c r="BB213"/>
  <c r="BC279"/>
  <c r="BB205"/>
  <c r="BC271"/>
  <c r="BB197"/>
  <c r="BC288"/>
  <c r="BB214"/>
  <c r="BC276"/>
  <c r="BB202"/>
  <c r="BC285"/>
  <c r="BB211"/>
  <c r="AI273"/>
  <c r="AZ199"/>
  <c r="BC283"/>
  <c r="BB209"/>
  <c r="BC284"/>
  <c r="BB210"/>
  <c r="BC267"/>
  <c r="BB193"/>
  <c r="BC281"/>
  <c r="BB207"/>
  <c r="BC282"/>
  <c r="BB208"/>
  <c r="BC272"/>
  <c r="BB198"/>
  <c r="BC266"/>
  <c r="BB192"/>
  <c r="H8"/>
  <c r="H78"/>
  <c r="Q70" i="1"/>
  <c r="H71"/>
  <c r="H204"/>
  <c r="L11"/>
  <c r="L12"/>
  <c r="T252"/>
  <c r="AF291"/>
  <c r="AY154" i="2"/>
  <c r="AZ153"/>
  <c r="BA153"/>
  <c r="AE281" i="1"/>
  <c r="AE291"/>
  <c r="AD306"/>
  <c r="AF306"/>
  <c r="AG306"/>
  <c r="AE306"/>
  <c r="AH291"/>
  <c r="AF281"/>
  <c r="AD281"/>
  <c r="AG281"/>
  <c r="N264"/>
  <c r="H254"/>
  <c r="H55" i="2"/>
  <c r="C248" i="1"/>
  <c r="AM214" i="2"/>
  <c r="G189"/>
  <c r="O70" i="1"/>
  <c r="F203"/>
  <c r="P70"/>
  <c r="G203"/>
  <c r="O199" i="2"/>
  <c r="W214"/>
  <c r="K72" i="1"/>
  <c r="P40" i="4"/>
  <c r="M40"/>
  <c r="R40"/>
  <c r="O40"/>
  <c r="Q40"/>
  <c r="N40"/>
  <c r="G214" i="2"/>
  <c r="AM189"/>
  <c r="K80" i="1"/>
  <c r="K88"/>
  <c r="AE214" i="2"/>
  <c r="W199"/>
  <c r="AM199"/>
  <c r="K76" i="1"/>
  <c r="D637"/>
  <c r="AT226" i="2"/>
  <c r="C637" i="1"/>
  <c r="AS226" i="2"/>
  <c r="AG153"/>
  <c r="O153"/>
  <c r="AP153"/>
  <c r="F153"/>
  <c r="X153"/>
  <c r="K84" i="1"/>
  <c r="K92"/>
  <c r="K166"/>
  <c r="B525"/>
  <c r="B562"/>
  <c r="B599"/>
  <c r="B636"/>
  <c r="B376"/>
  <c r="K376"/>
  <c r="B413"/>
  <c r="K341"/>
  <c r="T341"/>
  <c r="B374"/>
  <c r="K374"/>
  <c r="B411"/>
  <c r="K339"/>
  <c r="T339"/>
  <c r="B372"/>
  <c r="K372"/>
  <c r="B409"/>
  <c r="K337"/>
  <c r="T337"/>
  <c r="B370"/>
  <c r="K370"/>
  <c r="B407"/>
  <c r="K335"/>
  <c r="T335"/>
  <c r="B368"/>
  <c r="K368"/>
  <c r="B405"/>
  <c r="K333"/>
  <c r="T333"/>
  <c r="B366"/>
  <c r="K366"/>
  <c r="B403"/>
  <c r="K331"/>
  <c r="T331"/>
  <c r="B364"/>
  <c r="K364"/>
  <c r="B401"/>
  <c r="K329"/>
  <c r="T329"/>
  <c r="B362"/>
  <c r="K362"/>
  <c r="B399"/>
  <c r="K327"/>
  <c r="T327"/>
  <c r="B360"/>
  <c r="K360"/>
  <c r="B397"/>
  <c r="K325"/>
  <c r="T325"/>
  <c r="B358"/>
  <c r="K358"/>
  <c r="B395"/>
  <c r="K323"/>
  <c r="T323"/>
  <c r="B356"/>
  <c r="K356"/>
  <c r="B393"/>
  <c r="K321"/>
  <c r="T321"/>
  <c r="B354"/>
  <c r="K354"/>
  <c r="B391"/>
  <c r="K319"/>
  <c r="T319"/>
  <c r="K309"/>
  <c r="T309"/>
  <c r="AC309"/>
  <c r="B344"/>
  <c r="B377"/>
  <c r="K377"/>
  <c r="B414"/>
  <c r="K342"/>
  <c r="T342"/>
  <c r="B375"/>
  <c r="K375"/>
  <c r="B412"/>
  <c r="K340"/>
  <c r="T340"/>
  <c r="B373"/>
  <c r="K373"/>
  <c r="B410"/>
  <c r="K338"/>
  <c r="T338"/>
  <c r="B371"/>
  <c r="K371"/>
  <c r="B408"/>
  <c r="K336"/>
  <c r="T336"/>
  <c r="B369"/>
  <c r="K369"/>
  <c r="B406"/>
  <c r="K334"/>
  <c r="T334"/>
  <c r="B367"/>
  <c r="K367"/>
  <c r="B404"/>
  <c r="K332"/>
  <c r="T332"/>
  <c r="B365"/>
  <c r="K365"/>
  <c r="B402"/>
  <c r="K330"/>
  <c r="T330"/>
  <c r="B363"/>
  <c r="K363"/>
  <c r="B400"/>
  <c r="K328"/>
  <c r="T328"/>
  <c r="B361"/>
  <c r="K361"/>
  <c r="B398"/>
  <c r="K326"/>
  <c r="T326"/>
  <c r="B359"/>
  <c r="K359"/>
  <c r="B396"/>
  <c r="K324"/>
  <c r="T324"/>
  <c r="B357"/>
  <c r="K357"/>
  <c r="B394"/>
  <c r="K322"/>
  <c r="T322"/>
  <c r="B355"/>
  <c r="K355"/>
  <c r="B392"/>
  <c r="K320"/>
  <c r="T320"/>
  <c r="B353"/>
  <c r="K353"/>
  <c r="B390"/>
  <c r="K318"/>
  <c r="T318"/>
  <c r="K70"/>
  <c r="K74"/>
  <c r="K78"/>
  <c r="K82"/>
  <c r="K86"/>
  <c r="K90"/>
  <c r="K94"/>
  <c r="K71"/>
  <c r="K73"/>
  <c r="K75"/>
  <c r="K77"/>
  <c r="K79"/>
  <c r="K81"/>
  <c r="K83"/>
  <c r="K85"/>
  <c r="K87"/>
  <c r="K89"/>
  <c r="K91"/>
  <c r="K93"/>
  <c r="M242"/>
  <c r="B8" i="2"/>
  <c r="B43"/>
  <c r="B78"/>
  <c r="L78"/>
  <c r="V78"/>
  <c r="AF78"/>
  <c r="B281" i="1"/>
  <c r="M243"/>
  <c r="B9" i="2"/>
  <c r="B44"/>
  <c r="B79"/>
  <c r="L79"/>
  <c r="V79"/>
  <c r="AF79"/>
  <c r="B282" i="1"/>
  <c r="B317"/>
  <c r="K69"/>
  <c r="K96"/>
  <c r="L70"/>
  <c r="E70"/>
  <c r="M267"/>
  <c r="B33" i="2"/>
  <c r="K304" i="1"/>
  <c r="T304"/>
  <c r="AC304"/>
  <c r="M265"/>
  <c r="B31" i="2"/>
  <c r="K302" i="1"/>
  <c r="T302"/>
  <c r="AC302"/>
  <c r="M263"/>
  <c r="B29" i="2"/>
  <c r="K300" i="1"/>
  <c r="T300"/>
  <c r="AC300"/>
  <c r="M261"/>
  <c r="B27" i="2"/>
  <c r="K298" i="1"/>
  <c r="T298"/>
  <c r="AC298"/>
  <c r="M259"/>
  <c r="B25" i="2"/>
  <c r="K296" i="1"/>
  <c r="T296"/>
  <c r="AC296"/>
  <c r="M257"/>
  <c r="B23" i="2"/>
  <c r="K294" i="1"/>
  <c r="T294"/>
  <c r="AC294"/>
  <c r="M255"/>
  <c r="B21" i="2"/>
  <c r="K292" i="1"/>
  <c r="T292"/>
  <c r="AC292"/>
  <c r="M253"/>
  <c r="B19" i="2"/>
  <c r="K290" i="1"/>
  <c r="T290"/>
  <c r="AC290"/>
  <c r="M251"/>
  <c r="B17" i="2"/>
  <c r="K288" i="1"/>
  <c r="T288"/>
  <c r="AC288"/>
  <c r="M249"/>
  <c r="B15" i="2"/>
  <c r="K286" i="1"/>
  <c r="T286"/>
  <c r="AC286"/>
  <c r="M247"/>
  <c r="B13" i="2"/>
  <c r="K284" i="1"/>
  <c r="T284"/>
  <c r="AC284"/>
  <c r="M245"/>
  <c r="B11" i="2"/>
  <c r="C48"/>
  <c r="C46"/>
  <c r="C44"/>
  <c r="E72"/>
  <c r="D71"/>
  <c r="E70"/>
  <c r="D69"/>
  <c r="E68"/>
  <c r="E58"/>
  <c r="D57"/>
  <c r="E56"/>
  <c r="D55"/>
  <c r="E54"/>
  <c r="D53"/>
  <c r="E52"/>
  <c r="D51"/>
  <c r="E50"/>
  <c r="D49"/>
  <c r="E48"/>
  <c r="D47"/>
  <c r="E46"/>
  <c r="D45"/>
  <c r="E44"/>
  <c r="D43"/>
  <c r="P43"/>
  <c r="P44"/>
  <c r="P45"/>
  <c r="P46"/>
  <c r="P47"/>
  <c r="P48"/>
  <c r="P49"/>
  <c r="P50"/>
  <c r="P51"/>
  <c r="P52"/>
  <c r="P53"/>
  <c r="P54"/>
  <c r="P55"/>
  <c r="P56"/>
  <c r="P57"/>
  <c r="P58"/>
  <c r="P68"/>
  <c r="P69"/>
  <c r="P70"/>
  <c r="P71"/>
  <c r="P72"/>
  <c r="F8"/>
  <c r="F78"/>
  <c r="M270" i="1"/>
  <c r="B36" i="2"/>
  <c r="K307" i="1"/>
  <c r="T307"/>
  <c r="AC307"/>
  <c r="M268"/>
  <c r="B34" i="2"/>
  <c r="K305" i="1"/>
  <c r="T305"/>
  <c r="AC305"/>
  <c r="M266"/>
  <c r="B32" i="2"/>
  <c r="K303" i="1"/>
  <c r="T303"/>
  <c r="AC303"/>
  <c r="M264"/>
  <c r="B30" i="2"/>
  <c r="K301" i="1"/>
  <c r="T301"/>
  <c r="AC301"/>
  <c r="M262"/>
  <c r="B28" i="2"/>
  <c r="K299" i="1"/>
  <c r="T299"/>
  <c r="AC299"/>
  <c r="M260"/>
  <c r="B26" i="2"/>
  <c r="K297" i="1"/>
  <c r="T297"/>
  <c r="AC297"/>
  <c r="M258"/>
  <c r="B24" i="2"/>
  <c r="K295" i="1"/>
  <c r="T295"/>
  <c r="AC295"/>
  <c r="M256"/>
  <c r="B22" i="2"/>
  <c r="K293" i="1"/>
  <c r="T293"/>
  <c r="AC293"/>
  <c r="M254"/>
  <c r="B20" i="2"/>
  <c r="K291" i="1"/>
  <c r="T291"/>
  <c r="AC291"/>
  <c r="M252"/>
  <c r="B18" i="2"/>
  <c r="K289" i="1"/>
  <c r="T289"/>
  <c r="AC289"/>
  <c r="M250"/>
  <c r="B16" i="2"/>
  <c r="K287" i="1"/>
  <c r="T287"/>
  <c r="AC287"/>
  <c r="M248"/>
  <c r="B14" i="2"/>
  <c r="K285" i="1"/>
  <c r="T285"/>
  <c r="AC285"/>
  <c r="M246"/>
  <c r="B12" i="2"/>
  <c r="K283" i="1"/>
  <c r="T283"/>
  <c r="AC283"/>
  <c r="M244"/>
  <c r="B10" i="2"/>
  <c r="C47"/>
  <c r="C45"/>
  <c r="C43"/>
  <c r="D72"/>
  <c r="E71"/>
  <c r="D70"/>
  <c r="E69"/>
  <c r="D68"/>
  <c r="D58"/>
  <c r="E57"/>
  <c r="D56"/>
  <c r="E55"/>
  <c r="D54"/>
  <c r="E53"/>
  <c r="D52"/>
  <c r="E51"/>
  <c r="D50"/>
  <c r="E49"/>
  <c r="D48"/>
  <c r="E47"/>
  <c r="D46"/>
  <c r="E45"/>
  <c r="D44"/>
  <c r="E43"/>
  <c r="Q43"/>
  <c r="Q44"/>
  <c r="Q45"/>
  <c r="Q46"/>
  <c r="Q47"/>
  <c r="Q48"/>
  <c r="Q49"/>
  <c r="Q50"/>
  <c r="Q51"/>
  <c r="Q52"/>
  <c r="Q53"/>
  <c r="Q54"/>
  <c r="Q55"/>
  <c r="Q56"/>
  <c r="Q57"/>
  <c r="Q58"/>
  <c r="Q68"/>
  <c r="Q69"/>
  <c r="Q70"/>
  <c r="Q71"/>
  <c r="Q72"/>
  <c r="K95" i="1"/>
  <c r="G8" i="2"/>
  <c r="G78"/>
  <c r="G71" i="1"/>
  <c r="D70"/>
  <c r="B195"/>
  <c r="B231"/>
  <c r="K231"/>
  <c r="B193"/>
  <c r="B229"/>
  <c r="K229"/>
  <c r="B191"/>
  <c r="B227"/>
  <c r="K227"/>
  <c r="B189"/>
  <c r="B225"/>
  <c r="K225"/>
  <c r="B187"/>
  <c r="B223"/>
  <c r="K223"/>
  <c r="B185"/>
  <c r="B221"/>
  <c r="K221"/>
  <c r="B183"/>
  <c r="B219"/>
  <c r="K219"/>
  <c r="B181"/>
  <c r="B217"/>
  <c r="K217"/>
  <c r="B179"/>
  <c r="B215"/>
  <c r="K215"/>
  <c r="B177"/>
  <c r="B213"/>
  <c r="K213"/>
  <c r="B175"/>
  <c r="B211"/>
  <c r="K211"/>
  <c r="B173"/>
  <c r="B209"/>
  <c r="K209"/>
  <c r="B171"/>
  <c r="B207"/>
  <c r="K207"/>
  <c r="B169"/>
  <c r="B205"/>
  <c r="K205"/>
  <c r="B167"/>
  <c r="B203"/>
  <c r="K203"/>
  <c r="F71"/>
  <c r="B196"/>
  <c r="B232"/>
  <c r="K232"/>
  <c r="B194"/>
  <c r="B230"/>
  <c r="K230"/>
  <c r="B192"/>
  <c r="B228"/>
  <c r="K228"/>
  <c r="B190"/>
  <c r="B226"/>
  <c r="K226"/>
  <c r="B188"/>
  <c r="B224"/>
  <c r="K224"/>
  <c r="B186"/>
  <c r="B222"/>
  <c r="K222"/>
  <c r="B184"/>
  <c r="B220"/>
  <c r="K220"/>
  <c r="B182"/>
  <c r="B218"/>
  <c r="K218"/>
  <c r="B180"/>
  <c r="B216"/>
  <c r="K216"/>
  <c r="B178"/>
  <c r="B214"/>
  <c r="K214"/>
  <c r="B176"/>
  <c r="B212"/>
  <c r="K212"/>
  <c r="B174"/>
  <c r="B210"/>
  <c r="K210"/>
  <c r="B172"/>
  <c r="B208"/>
  <c r="K208"/>
  <c r="B170"/>
  <c r="B206"/>
  <c r="K206"/>
  <c r="B168"/>
  <c r="B204"/>
  <c r="K204"/>
  <c r="H14"/>
  <c r="O14"/>
  <c r="K98"/>
  <c r="B271"/>
  <c r="B310"/>
  <c r="B269"/>
  <c r="B308"/>
  <c r="B343"/>
  <c r="F10"/>
  <c r="H263" i="2"/>
  <c r="K14" i="1"/>
  <c r="S16"/>
  <c r="K15"/>
  <c r="E12"/>
  <c r="F11"/>
  <c r="H264" i="2"/>
  <c r="R16" i="1"/>
  <c r="H15"/>
  <c r="O15"/>
  <c r="T16"/>
  <c r="N10"/>
  <c r="Y273" i="2"/>
  <c r="AY199"/>
  <c r="AS263"/>
  <c r="BA189"/>
  <c r="AS288"/>
  <c r="BA214"/>
  <c r="S254" i="1"/>
  <c r="R54" i="2"/>
  <c r="S54"/>
  <c r="T253" i="1"/>
  <c r="AI288" i="2"/>
  <c r="AZ214"/>
  <c r="E288"/>
  <c r="AW214"/>
  <c r="Y288"/>
  <c r="AY214"/>
  <c r="O273"/>
  <c r="AX199"/>
  <c r="AS273"/>
  <c r="BA199"/>
  <c r="E263"/>
  <c r="AW189"/>
  <c r="BB264"/>
  <c r="BH153"/>
  <c r="R8"/>
  <c r="AQ305"/>
  <c r="Q203" i="1"/>
  <c r="AU226" i="2"/>
  <c r="S53"/>
  <c r="S51"/>
  <c r="S49"/>
  <c r="S47"/>
  <c r="S45"/>
  <c r="S43"/>
  <c r="S52"/>
  <c r="S50"/>
  <c r="S48"/>
  <c r="S46"/>
  <c r="S44"/>
  <c r="I45"/>
  <c r="I44"/>
  <c r="I48"/>
  <c r="I43"/>
  <c r="I47"/>
  <c r="I46"/>
  <c r="N11" i="1"/>
  <c r="Q71"/>
  <c r="H72"/>
  <c r="H205"/>
  <c r="H9" i="2"/>
  <c r="H79"/>
  <c r="AY155"/>
  <c r="AZ154"/>
  <c r="BA154"/>
  <c r="B316" i="1"/>
  <c r="B351"/>
  <c r="K351"/>
  <c r="F411"/>
  <c r="C410"/>
  <c r="C399"/>
  <c r="C400"/>
  <c r="G414"/>
  <c r="G404"/>
  <c r="G399"/>
  <c r="D408"/>
  <c r="D405"/>
  <c r="D402"/>
  <c r="D403"/>
  <c r="D406"/>
  <c r="F401"/>
  <c r="F410"/>
  <c r="E399"/>
  <c r="E410"/>
  <c r="E411"/>
  <c r="E414"/>
  <c r="F400"/>
  <c r="C404"/>
  <c r="C405"/>
  <c r="G402"/>
  <c r="G403"/>
  <c r="G412"/>
  <c r="G400"/>
  <c r="E404"/>
  <c r="D412"/>
  <c r="D409"/>
  <c r="D410"/>
  <c r="D411"/>
  <c r="F405"/>
  <c r="F406"/>
  <c r="D407"/>
  <c r="G409"/>
  <c r="C407"/>
  <c r="E409"/>
  <c r="F412"/>
  <c r="C402"/>
  <c r="C406"/>
  <c r="G410"/>
  <c r="G405"/>
  <c r="D401"/>
  <c r="D414"/>
  <c r="F414"/>
  <c r="F402"/>
  <c r="C414"/>
  <c r="E405"/>
  <c r="E402"/>
  <c r="C403"/>
  <c r="C411"/>
  <c r="G407"/>
  <c r="G408"/>
  <c r="C401"/>
  <c r="D400"/>
  <c r="D399"/>
  <c r="F409"/>
  <c r="G401"/>
  <c r="E406"/>
  <c r="C408"/>
  <c r="G411"/>
  <c r="D404"/>
  <c r="F399"/>
  <c r="C412"/>
  <c r="E403"/>
  <c r="E401"/>
  <c r="E408"/>
  <c r="F408"/>
  <c r="C409"/>
  <c r="G406"/>
  <c r="E412"/>
  <c r="F407"/>
  <c r="F403"/>
  <c r="H414"/>
  <c r="E407"/>
  <c r="E400"/>
  <c r="F404"/>
  <c r="N265"/>
  <c r="M65" i="2"/>
  <c r="C49"/>
  <c r="I49"/>
  <c r="I248" i="1"/>
  <c r="H255"/>
  <c r="H56" i="2"/>
  <c r="L8"/>
  <c r="B8" i="3"/>
  <c r="K8"/>
  <c r="T8"/>
  <c r="AC8"/>
  <c r="C249" i="1"/>
  <c r="I249"/>
  <c r="F9" i="2"/>
  <c r="F79"/>
  <c r="F204" i="1"/>
  <c r="G9" i="2"/>
  <c r="G79"/>
  <c r="G204" i="1"/>
  <c r="N70"/>
  <c r="E203"/>
  <c r="Q8" i="2"/>
  <c r="Q78"/>
  <c r="AK78"/>
  <c r="P203" i="1"/>
  <c r="P8" i="2"/>
  <c r="O203" i="1"/>
  <c r="D8" i="2"/>
  <c r="D78"/>
  <c r="D203" i="1"/>
  <c r="M8" i="2"/>
  <c r="L203" i="1"/>
  <c r="K281"/>
  <c r="T281"/>
  <c r="AC281"/>
  <c r="K282"/>
  <c r="T282"/>
  <c r="AC282"/>
  <c r="N41" i="4"/>
  <c r="W40"/>
  <c r="D9" i="3"/>
  <c r="O41" i="4"/>
  <c r="X40"/>
  <c r="E9" i="3"/>
  <c r="M41" i="4"/>
  <c r="V40"/>
  <c r="C9" i="3"/>
  <c r="Q41" i="4"/>
  <c r="Z40"/>
  <c r="G9" i="3"/>
  <c r="R41" i="4"/>
  <c r="AA40"/>
  <c r="P41"/>
  <c r="Y40"/>
  <c r="F9" i="3"/>
  <c r="R264" i="2"/>
  <c r="AB264"/>
  <c r="AL264"/>
  <c r="AV264"/>
  <c r="BF264"/>
  <c r="F306"/>
  <c r="N306"/>
  <c r="V306"/>
  <c r="AD306"/>
  <c r="AL306"/>
  <c r="AT306"/>
  <c r="K170" i="1"/>
  <c r="B529"/>
  <c r="B566"/>
  <c r="B603"/>
  <c r="B640"/>
  <c r="K174"/>
  <c r="B533"/>
  <c r="B570"/>
  <c r="B607"/>
  <c r="B644"/>
  <c r="K178"/>
  <c r="B537"/>
  <c r="B574"/>
  <c r="B611"/>
  <c r="B648"/>
  <c r="K182"/>
  <c r="B541"/>
  <c r="B578"/>
  <c r="B615"/>
  <c r="B652"/>
  <c r="K186"/>
  <c r="B545"/>
  <c r="B582"/>
  <c r="B619"/>
  <c r="B656"/>
  <c r="K190"/>
  <c r="B549"/>
  <c r="B586"/>
  <c r="B623"/>
  <c r="B660"/>
  <c r="K194"/>
  <c r="B553"/>
  <c r="B590"/>
  <c r="B627"/>
  <c r="B664"/>
  <c r="K167"/>
  <c r="B526"/>
  <c r="B563"/>
  <c r="B600"/>
  <c r="B637"/>
  <c r="K171"/>
  <c r="B530"/>
  <c r="B567"/>
  <c r="B604"/>
  <c r="B641"/>
  <c r="K175"/>
  <c r="B534"/>
  <c r="B571"/>
  <c r="B608"/>
  <c r="B645"/>
  <c r="K179"/>
  <c r="B538"/>
  <c r="B575"/>
  <c r="B612"/>
  <c r="B649"/>
  <c r="K183"/>
  <c r="B542"/>
  <c r="B579"/>
  <c r="B616"/>
  <c r="B653"/>
  <c r="K187"/>
  <c r="B546"/>
  <c r="B583"/>
  <c r="B620"/>
  <c r="B657"/>
  <c r="K191"/>
  <c r="B550"/>
  <c r="B587"/>
  <c r="B624"/>
  <c r="B661"/>
  <c r="K195"/>
  <c r="B554"/>
  <c r="F154" i="2"/>
  <c r="O154"/>
  <c r="AG154"/>
  <c r="D638" i="1"/>
  <c r="AT227" i="2"/>
  <c r="F226"/>
  <c r="V226"/>
  <c r="AD226"/>
  <c r="N226"/>
  <c r="AL226"/>
  <c r="R263"/>
  <c r="AB263"/>
  <c r="AL263"/>
  <c r="AV263"/>
  <c r="BF263"/>
  <c r="F305"/>
  <c r="N305"/>
  <c r="V305"/>
  <c r="AD305"/>
  <c r="AL305"/>
  <c r="AT305"/>
  <c r="K168" i="1"/>
  <c r="B527"/>
  <c r="B564"/>
  <c r="B601"/>
  <c r="B638"/>
  <c r="K172"/>
  <c r="B531"/>
  <c r="B568"/>
  <c r="B605"/>
  <c r="B642"/>
  <c r="K176"/>
  <c r="B535"/>
  <c r="B572"/>
  <c r="B609"/>
  <c r="B646"/>
  <c r="K180"/>
  <c r="B539"/>
  <c r="B576"/>
  <c r="B613"/>
  <c r="B650"/>
  <c r="K184"/>
  <c r="B543"/>
  <c r="B580"/>
  <c r="B617"/>
  <c r="B654"/>
  <c r="K188"/>
  <c r="B547"/>
  <c r="B584"/>
  <c r="B621"/>
  <c r="B658"/>
  <c r="K192"/>
  <c r="B551"/>
  <c r="B588"/>
  <c r="B625"/>
  <c r="B662"/>
  <c r="K196"/>
  <c r="B555"/>
  <c r="B592"/>
  <c r="B629"/>
  <c r="B666"/>
  <c r="K169"/>
  <c r="B528"/>
  <c r="B565"/>
  <c r="B602"/>
  <c r="B639"/>
  <c r="K173"/>
  <c r="B532"/>
  <c r="B569"/>
  <c r="B606"/>
  <c r="B643"/>
  <c r="K177"/>
  <c r="B536"/>
  <c r="B573"/>
  <c r="B610"/>
  <c r="B647"/>
  <c r="K181"/>
  <c r="B540"/>
  <c r="B577"/>
  <c r="B614"/>
  <c r="B651"/>
  <c r="K185"/>
  <c r="B544"/>
  <c r="B581"/>
  <c r="B618"/>
  <c r="B655"/>
  <c r="K189"/>
  <c r="B548"/>
  <c r="B585"/>
  <c r="B622"/>
  <c r="B659"/>
  <c r="K193"/>
  <c r="B552"/>
  <c r="B589"/>
  <c r="B626"/>
  <c r="B663"/>
  <c r="X154" i="2"/>
  <c r="AP154"/>
  <c r="C638" i="1"/>
  <c r="AS227" i="2"/>
  <c r="AU227"/>
  <c r="M226"/>
  <c r="AC226"/>
  <c r="AK226"/>
  <c r="U226"/>
  <c r="E226"/>
  <c r="L44"/>
  <c r="B116"/>
  <c r="L43"/>
  <c r="B115"/>
  <c r="K310" i="1"/>
  <c r="T310"/>
  <c r="AC310"/>
  <c r="B345"/>
  <c r="B427"/>
  <c r="K392"/>
  <c r="T392"/>
  <c r="AC392"/>
  <c r="B431"/>
  <c r="K396"/>
  <c r="T396"/>
  <c r="AC396"/>
  <c r="B435"/>
  <c r="K400"/>
  <c r="T400"/>
  <c r="AC400"/>
  <c r="B439"/>
  <c r="K404"/>
  <c r="T404"/>
  <c r="AC404"/>
  <c r="B443"/>
  <c r="K408"/>
  <c r="T408"/>
  <c r="AC408"/>
  <c r="B447"/>
  <c r="K412"/>
  <c r="T412"/>
  <c r="AC412"/>
  <c r="B426"/>
  <c r="K391"/>
  <c r="T391"/>
  <c r="AC391"/>
  <c r="B430"/>
  <c r="K395"/>
  <c r="T395"/>
  <c r="AC395"/>
  <c r="B434"/>
  <c r="K399"/>
  <c r="T399"/>
  <c r="AC399"/>
  <c r="B438"/>
  <c r="K403"/>
  <c r="T403"/>
  <c r="AC403"/>
  <c r="B442"/>
  <c r="K407"/>
  <c r="T407"/>
  <c r="AC407"/>
  <c r="B446"/>
  <c r="K411"/>
  <c r="T411"/>
  <c r="AC411"/>
  <c r="B378"/>
  <c r="K378"/>
  <c r="B415"/>
  <c r="H415"/>
  <c r="K343"/>
  <c r="T343"/>
  <c r="B352"/>
  <c r="K352"/>
  <c r="B389"/>
  <c r="K317"/>
  <c r="T317"/>
  <c r="B425"/>
  <c r="K390"/>
  <c r="T390"/>
  <c r="AC390"/>
  <c r="B429"/>
  <c r="K394"/>
  <c r="T394"/>
  <c r="AC394"/>
  <c r="B433"/>
  <c r="K398"/>
  <c r="T398"/>
  <c r="AC398"/>
  <c r="B437"/>
  <c r="K402"/>
  <c r="T402"/>
  <c r="AC402"/>
  <c r="B441"/>
  <c r="K406"/>
  <c r="T406"/>
  <c r="AC406"/>
  <c r="B445"/>
  <c r="K410"/>
  <c r="T410"/>
  <c r="AC410"/>
  <c r="B449"/>
  <c r="K414"/>
  <c r="T414"/>
  <c r="AC414"/>
  <c r="B379"/>
  <c r="K379"/>
  <c r="B416"/>
  <c r="D416"/>
  <c r="K344"/>
  <c r="T344"/>
  <c r="B428"/>
  <c r="K393"/>
  <c r="T393"/>
  <c r="AC393"/>
  <c r="B432"/>
  <c r="K397"/>
  <c r="T397"/>
  <c r="AC397"/>
  <c r="B436"/>
  <c r="K401"/>
  <c r="T401"/>
  <c r="AC401"/>
  <c r="B440"/>
  <c r="K405"/>
  <c r="T405"/>
  <c r="AC405"/>
  <c r="B444"/>
  <c r="K409"/>
  <c r="T409"/>
  <c r="AC409"/>
  <c r="B448"/>
  <c r="K413"/>
  <c r="T413"/>
  <c r="AC413"/>
  <c r="L9" i="2"/>
  <c r="B9" i="3"/>
  <c r="K9"/>
  <c r="T9"/>
  <c r="AC9"/>
  <c r="C71" i="1"/>
  <c r="E71"/>
  <c r="E8" i="2"/>
  <c r="E78"/>
  <c r="C8"/>
  <c r="M271" i="1"/>
  <c r="B37" i="2"/>
  <c r="K308" i="1"/>
  <c r="T308"/>
  <c r="AC308"/>
  <c r="B46" i="2"/>
  <c r="B81"/>
  <c r="L81"/>
  <c r="V81"/>
  <c r="AF81"/>
  <c r="L11"/>
  <c r="B11" i="3"/>
  <c r="K11"/>
  <c r="T11"/>
  <c r="AC11"/>
  <c r="B48" i="2"/>
  <c r="B83"/>
  <c r="L83"/>
  <c r="V83"/>
  <c r="AF83"/>
  <c r="L13"/>
  <c r="B13" i="3"/>
  <c r="K13"/>
  <c r="T13"/>
  <c r="AC13"/>
  <c r="B50" i="2"/>
  <c r="B85"/>
  <c r="L85"/>
  <c r="V85"/>
  <c r="AF85"/>
  <c r="L15"/>
  <c r="B15" i="3"/>
  <c r="K15"/>
  <c r="T15"/>
  <c r="AC15"/>
  <c r="B52" i="2"/>
  <c r="B87"/>
  <c r="L87"/>
  <c r="V87"/>
  <c r="AF87"/>
  <c r="L17"/>
  <c r="B17" i="3"/>
  <c r="K17"/>
  <c r="T17"/>
  <c r="AC17"/>
  <c r="B54" i="2"/>
  <c r="B89"/>
  <c r="L89"/>
  <c r="V89"/>
  <c r="AF89"/>
  <c r="L19"/>
  <c r="B19" i="3"/>
  <c r="K19"/>
  <c r="T19"/>
  <c r="AC19"/>
  <c r="B56" i="2"/>
  <c r="B91"/>
  <c r="L91"/>
  <c r="V91"/>
  <c r="AF91"/>
  <c r="L21"/>
  <c r="B21" i="3"/>
  <c r="K21"/>
  <c r="T21"/>
  <c r="AC21"/>
  <c r="B58" i="2"/>
  <c r="B93"/>
  <c r="L93"/>
  <c r="V93"/>
  <c r="AF93"/>
  <c r="L23"/>
  <c r="B23" i="3"/>
  <c r="K23"/>
  <c r="T23"/>
  <c r="AC23"/>
  <c r="B60" i="2"/>
  <c r="B95"/>
  <c r="L95"/>
  <c r="V95"/>
  <c r="AF95"/>
  <c r="L25"/>
  <c r="B25" i="3"/>
  <c r="K25"/>
  <c r="T25"/>
  <c r="AC25"/>
  <c r="B62" i="2"/>
  <c r="B97"/>
  <c r="L97"/>
  <c r="V97"/>
  <c r="AF97"/>
  <c r="L27"/>
  <c r="B27" i="3"/>
  <c r="K27"/>
  <c r="T27"/>
  <c r="AC27"/>
  <c r="B64" i="2"/>
  <c r="B99"/>
  <c r="L99"/>
  <c r="V99"/>
  <c r="AF99"/>
  <c r="L29"/>
  <c r="B29" i="3"/>
  <c r="K29"/>
  <c r="T29"/>
  <c r="AC29"/>
  <c r="B66" i="2"/>
  <c r="B101"/>
  <c r="L101"/>
  <c r="V101"/>
  <c r="AF101"/>
  <c r="L31"/>
  <c r="B31" i="3"/>
  <c r="K31"/>
  <c r="T31"/>
  <c r="AC31"/>
  <c r="B68" i="2"/>
  <c r="B103"/>
  <c r="L103"/>
  <c r="V103"/>
  <c r="AF103"/>
  <c r="L33"/>
  <c r="B33" i="3"/>
  <c r="K33"/>
  <c r="T33"/>
  <c r="AC33"/>
  <c r="M269" i="1"/>
  <c r="B35" i="2"/>
  <c r="K306" i="1"/>
  <c r="T306"/>
  <c r="AC306"/>
  <c r="B45" i="2"/>
  <c r="B80"/>
  <c r="L80"/>
  <c r="V80"/>
  <c r="AF80"/>
  <c r="L10"/>
  <c r="B10" i="3"/>
  <c r="K10"/>
  <c r="T10"/>
  <c r="AC10"/>
  <c r="B47" i="2"/>
  <c r="B82"/>
  <c r="L82"/>
  <c r="V82"/>
  <c r="AF82"/>
  <c r="L12"/>
  <c r="B12" i="3"/>
  <c r="K12"/>
  <c r="T12"/>
  <c r="AC12"/>
  <c r="B49" i="2"/>
  <c r="B84"/>
  <c r="L84"/>
  <c r="V84"/>
  <c r="AF84"/>
  <c r="L14"/>
  <c r="B14" i="3"/>
  <c r="K14"/>
  <c r="T14"/>
  <c r="AC14"/>
  <c r="B51" i="2"/>
  <c r="B86"/>
  <c r="L86"/>
  <c r="V86"/>
  <c r="AF86"/>
  <c r="L16"/>
  <c r="B16" i="3"/>
  <c r="K16"/>
  <c r="T16"/>
  <c r="AC16"/>
  <c r="B53" i="2"/>
  <c r="B88"/>
  <c r="L88"/>
  <c r="V88"/>
  <c r="AF88"/>
  <c r="L18"/>
  <c r="B18" i="3"/>
  <c r="K18"/>
  <c r="T18"/>
  <c r="AC18"/>
  <c r="B55" i="2"/>
  <c r="B90"/>
  <c r="L90"/>
  <c r="V90"/>
  <c r="AF90"/>
  <c r="L20"/>
  <c r="B20" i="3"/>
  <c r="K20"/>
  <c r="T20"/>
  <c r="AC20"/>
  <c r="B57" i="2"/>
  <c r="B92"/>
  <c r="L92"/>
  <c r="V92"/>
  <c r="AF92"/>
  <c r="L22"/>
  <c r="B22" i="3"/>
  <c r="K22"/>
  <c r="T22"/>
  <c r="AC22"/>
  <c r="B59" i="2"/>
  <c r="B94"/>
  <c r="L94"/>
  <c r="V94"/>
  <c r="AF94"/>
  <c r="L24"/>
  <c r="B24" i="3"/>
  <c r="K24"/>
  <c r="T24"/>
  <c r="AC24"/>
  <c r="B61" i="2"/>
  <c r="B96"/>
  <c r="L96"/>
  <c r="V96"/>
  <c r="AF96"/>
  <c r="L26"/>
  <c r="B26" i="3"/>
  <c r="K26"/>
  <c r="T26"/>
  <c r="AC26"/>
  <c r="B63" i="2"/>
  <c r="B98"/>
  <c r="L98"/>
  <c r="V98"/>
  <c r="AF98"/>
  <c r="L28"/>
  <c r="B28" i="3"/>
  <c r="K28"/>
  <c r="T28"/>
  <c r="AC28"/>
  <c r="B65" i="2"/>
  <c r="B100"/>
  <c r="L100"/>
  <c r="V100"/>
  <c r="AF100"/>
  <c r="L30"/>
  <c r="B30" i="3"/>
  <c r="K30"/>
  <c r="T30"/>
  <c r="AC30"/>
  <c r="B67" i="2"/>
  <c r="B102"/>
  <c r="L102"/>
  <c r="V102"/>
  <c r="AF102"/>
  <c r="L32"/>
  <c r="B32" i="3"/>
  <c r="K32"/>
  <c r="T32"/>
  <c r="AC32"/>
  <c r="B69" i="2"/>
  <c r="B104"/>
  <c r="L104"/>
  <c r="V104"/>
  <c r="AF104"/>
  <c r="L34"/>
  <c r="B34" i="3"/>
  <c r="K34"/>
  <c r="T34"/>
  <c r="AC34"/>
  <c r="B71" i="2"/>
  <c r="B106"/>
  <c r="L106"/>
  <c r="V106"/>
  <c r="AF106"/>
  <c r="L36"/>
  <c r="B36" i="3"/>
  <c r="K36"/>
  <c r="T36"/>
  <c r="AC36"/>
  <c r="M70" i="1"/>
  <c r="D71"/>
  <c r="G72"/>
  <c r="P71"/>
  <c r="O71"/>
  <c r="F72"/>
  <c r="R17"/>
  <c r="H16"/>
  <c r="E13"/>
  <c r="F12"/>
  <c r="H265" i="2"/>
  <c r="K16" i="1"/>
  <c r="S17"/>
  <c r="L13"/>
  <c r="N12"/>
  <c r="T17"/>
  <c r="O16"/>
  <c r="BB265" i="2"/>
  <c r="BH154"/>
  <c r="S255" i="1"/>
  <c r="R55" i="2"/>
  <c r="S55"/>
  <c r="T254" i="1"/>
  <c r="BD264" i="2"/>
  <c r="BE264"/>
  <c r="AR306"/>
  <c r="BB227"/>
  <c r="BD263"/>
  <c r="BE263"/>
  <c r="AR305"/>
  <c r="AS305"/>
  <c r="AU305"/>
  <c r="BB226"/>
  <c r="R78"/>
  <c r="R9"/>
  <c r="AQ306"/>
  <c r="AS306"/>
  <c r="AU306"/>
  <c r="Q204" i="1"/>
  <c r="BG264" i="2"/>
  <c r="AL78"/>
  <c r="I8"/>
  <c r="Q72" i="1"/>
  <c r="H73"/>
  <c r="H206"/>
  <c r="H10" i="2"/>
  <c r="H80"/>
  <c r="K316" i="1"/>
  <c r="T316"/>
  <c r="B388"/>
  <c r="E394"/>
  <c r="W394"/>
  <c r="U121" i="2"/>
  <c r="AY156"/>
  <c r="AZ155"/>
  <c r="BA155"/>
  <c r="Q415" i="1"/>
  <c r="Z415"/>
  <c r="AS142" i="2"/>
  <c r="Q414" i="1"/>
  <c r="Z414"/>
  <c r="AS141" i="2"/>
  <c r="D415" i="1"/>
  <c r="M415"/>
  <c r="AM226" i="2"/>
  <c r="H416" i="1"/>
  <c r="E416"/>
  <c r="N416"/>
  <c r="C416"/>
  <c r="U416"/>
  <c r="E143" i="2"/>
  <c r="G416" i="1"/>
  <c r="P416"/>
  <c r="F416"/>
  <c r="O416"/>
  <c r="O410"/>
  <c r="X410"/>
  <c r="AC137" i="2"/>
  <c r="V403" i="1"/>
  <c r="M130" i="2"/>
  <c r="M403" i="1"/>
  <c r="Y414"/>
  <c r="AK141" i="2"/>
  <c r="P414" i="1"/>
  <c r="O411"/>
  <c r="X411"/>
  <c r="AC138" i="2"/>
  <c r="N407" i="1"/>
  <c r="W407"/>
  <c r="U134" i="2"/>
  <c r="N412" i="1"/>
  <c r="W412"/>
  <c r="U139" i="2"/>
  <c r="O408" i="1"/>
  <c r="X408"/>
  <c r="AC135" i="2"/>
  <c r="L412" i="1"/>
  <c r="U412"/>
  <c r="E139" i="2"/>
  <c r="L408" i="1"/>
  <c r="U408"/>
  <c r="E135" i="2"/>
  <c r="V399" i="1"/>
  <c r="M126" i="2"/>
  <c r="M399" i="1"/>
  <c r="Y407"/>
  <c r="AK134" i="2"/>
  <c r="P407" i="1"/>
  <c r="N405"/>
  <c r="W405"/>
  <c r="U132" i="2"/>
  <c r="Y405" i="1"/>
  <c r="AK132" i="2"/>
  <c r="P405" i="1"/>
  <c r="U402"/>
  <c r="E129" i="2"/>
  <c r="L402" i="1"/>
  <c r="E415"/>
  <c r="O406"/>
  <c r="X406"/>
  <c r="AC133" i="2"/>
  <c r="V410" i="1"/>
  <c r="M137" i="2"/>
  <c r="M410" i="1"/>
  <c r="N404"/>
  <c r="W404"/>
  <c r="U131" i="2"/>
  <c r="Y402" i="1"/>
  <c r="AK129" i="2"/>
  <c r="P402" i="1"/>
  <c r="C415"/>
  <c r="N410"/>
  <c r="W410"/>
  <c r="U137" i="2"/>
  <c r="F415" i="1"/>
  <c r="V402"/>
  <c r="M129" i="2"/>
  <c r="M402" i="1"/>
  <c r="Y399"/>
  <c r="AK126" i="2"/>
  <c r="P399" i="1"/>
  <c r="L400"/>
  <c r="U400"/>
  <c r="E127" i="2"/>
  <c r="O407" i="1"/>
  <c r="X407"/>
  <c r="AC134" i="2"/>
  <c r="V416" i="1"/>
  <c r="M143" i="2"/>
  <c r="M416" i="1"/>
  <c r="L409"/>
  <c r="U409"/>
  <c r="E136" i="2"/>
  <c r="N403" i="1"/>
  <c r="W403"/>
  <c r="U130" i="2"/>
  <c r="O409" i="1"/>
  <c r="X409"/>
  <c r="AC136" i="2"/>
  <c r="Y408" i="1"/>
  <c r="AK135" i="2"/>
  <c r="P408" i="1"/>
  <c r="N402"/>
  <c r="W402"/>
  <c r="U129" i="2"/>
  <c r="O414" i="1"/>
  <c r="X414"/>
  <c r="AC141" i="2"/>
  <c r="V401" i="1"/>
  <c r="M128" i="2"/>
  <c r="M401" i="1"/>
  <c r="U406"/>
  <c r="E133" i="2"/>
  <c r="L406" i="1"/>
  <c r="N409"/>
  <c r="W409"/>
  <c r="U136" i="2"/>
  <c r="V407" i="1"/>
  <c r="M134" i="2"/>
  <c r="M407" i="1"/>
  <c r="V411"/>
  <c r="M138" i="2"/>
  <c r="M411" i="1"/>
  <c r="Y403"/>
  <c r="AK130" i="2"/>
  <c r="P403" i="1"/>
  <c r="N411"/>
  <c r="W411"/>
  <c r="U138" i="2"/>
  <c r="O404" i="1"/>
  <c r="X404"/>
  <c r="AC131" i="2"/>
  <c r="G415" i="1"/>
  <c r="N408"/>
  <c r="W408"/>
  <c r="U135" i="2"/>
  <c r="O399" i="1"/>
  <c r="X399"/>
  <c r="AC126" i="2"/>
  <c r="V404" i="1"/>
  <c r="M131" i="2"/>
  <c r="M404" i="1"/>
  <c r="N406"/>
  <c r="W406"/>
  <c r="U133" i="2"/>
  <c r="V400" i="1"/>
  <c r="M127" i="2"/>
  <c r="M400" i="1"/>
  <c r="U411"/>
  <c r="E138" i="2"/>
  <c r="L411" i="1"/>
  <c r="U414"/>
  <c r="E141" i="2"/>
  <c r="L414" i="1"/>
  <c r="Y410"/>
  <c r="AK137" i="2"/>
  <c r="P410" i="1"/>
  <c r="O412"/>
  <c r="X412"/>
  <c r="AC139" i="2"/>
  <c r="U407" i="1"/>
  <c r="E134" i="2"/>
  <c r="L407" i="1"/>
  <c r="O405"/>
  <c r="X405"/>
  <c r="AC132" i="2"/>
  <c r="V409" i="1"/>
  <c r="M136" i="2"/>
  <c r="M409" i="1"/>
  <c r="Y400"/>
  <c r="AK127" i="2"/>
  <c r="P400" i="1"/>
  <c r="L405"/>
  <c r="U405"/>
  <c r="E132" i="2"/>
  <c r="O400" i="1"/>
  <c r="X400"/>
  <c r="AC127" i="2"/>
  <c r="O401" i="1"/>
  <c r="X401"/>
  <c r="AC128" i="2"/>
  <c r="V405" i="1"/>
  <c r="M132" i="2"/>
  <c r="M405" i="1"/>
  <c r="Y404"/>
  <c r="AK131" i="2"/>
  <c r="P404" i="1"/>
  <c r="U399"/>
  <c r="E126" i="2"/>
  <c r="L399" i="1"/>
  <c r="N400"/>
  <c r="W400"/>
  <c r="U127" i="2"/>
  <c r="O403" i="1"/>
  <c r="X403"/>
  <c r="AC130" i="2"/>
  <c r="Y406" i="1"/>
  <c r="AK133" i="2"/>
  <c r="P406" i="1"/>
  <c r="N401"/>
  <c r="W401"/>
  <c r="U128" i="2"/>
  <c r="Y411" i="1"/>
  <c r="AK138" i="2"/>
  <c r="P411" i="1"/>
  <c r="Y401"/>
  <c r="AK128" i="2"/>
  <c r="P401" i="1"/>
  <c r="L401"/>
  <c r="U401"/>
  <c r="E128" i="2"/>
  <c r="U403" i="1"/>
  <c r="E130" i="2"/>
  <c r="L403" i="1"/>
  <c r="O402"/>
  <c r="X402"/>
  <c r="AC129" i="2"/>
  <c r="V414" i="1"/>
  <c r="M141" i="2"/>
  <c r="M414" i="1"/>
  <c r="Y409"/>
  <c r="AK136" i="2"/>
  <c r="P409" i="1"/>
  <c r="V412"/>
  <c r="M139" i="2"/>
  <c r="M412" i="1"/>
  <c r="Y412"/>
  <c r="AK139" i="2"/>
  <c r="P412" i="1"/>
  <c r="L404"/>
  <c r="U404"/>
  <c r="E131" i="2"/>
  <c r="N414" i="1"/>
  <c r="W414"/>
  <c r="U141" i="2"/>
  <c r="N399" i="1"/>
  <c r="W399"/>
  <c r="U126" i="2"/>
  <c r="V406" i="1"/>
  <c r="M133" i="2"/>
  <c r="M406" i="1"/>
  <c r="V408"/>
  <c r="M135" i="2"/>
  <c r="M408" i="1"/>
  <c r="U410"/>
  <c r="E137" i="2"/>
  <c r="L410" i="1"/>
  <c r="N266"/>
  <c r="M66" i="2"/>
  <c r="H256" i="1"/>
  <c r="H57" i="2"/>
  <c r="AI305"/>
  <c r="G226"/>
  <c r="C250" i="1"/>
  <c r="I250"/>
  <c r="C50" i="2"/>
  <c r="I50"/>
  <c r="C305"/>
  <c r="C78"/>
  <c r="I78"/>
  <c r="M78"/>
  <c r="AA305"/>
  <c r="P78"/>
  <c r="AJ78"/>
  <c r="P9"/>
  <c r="P79"/>
  <c r="AJ79"/>
  <c r="O204" i="1"/>
  <c r="D9" i="2"/>
  <c r="D79"/>
  <c r="D204" i="1"/>
  <c r="F10" i="2"/>
  <c r="F80"/>
  <c r="F205" i="1"/>
  <c r="G10" i="2"/>
  <c r="G80"/>
  <c r="G205" i="1"/>
  <c r="N8" i="2"/>
  <c r="N78"/>
  <c r="AH78"/>
  <c r="M203" i="1"/>
  <c r="C72"/>
  <c r="L72"/>
  <c r="C204"/>
  <c r="O8" i="2"/>
  <c r="O78"/>
  <c r="AI78"/>
  <c r="N203" i="1"/>
  <c r="Q9" i="2"/>
  <c r="P204" i="1"/>
  <c r="E9" i="2"/>
  <c r="E79"/>
  <c r="E204" i="1"/>
  <c r="O226" i="2"/>
  <c r="P42" i="4"/>
  <c r="Y41"/>
  <c r="F10" i="3"/>
  <c r="R42" i="4"/>
  <c r="AA41"/>
  <c r="Z41"/>
  <c r="G10" i="3"/>
  <c r="Q42" i="4"/>
  <c r="M42"/>
  <c r="V41"/>
  <c r="C10" i="3"/>
  <c r="O42" i="4"/>
  <c r="X41"/>
  <c r="E10" i="3"/>
  <c r="N42" i="4"/>
  <c r="W41"/>
  <c r="D10" i="3"/>
  <c r="L71" i="1"/>
  <c r="AE226" i="2"/>
  <c r="W226"/>
  <c r="E72" i="1"/>
  <c r="R265" i="2"/>
  <c r="AB265"/>
  <c r="AL265"/>
  <c r="AV265"/>
  <c r="BF265"/>
  <c r="F307"/>
  <c r="N307"/>
  <c r="V307"/>
  <c r="AD307"/>
  <c r="AL307"/>
  <c r="AT307"/>
  <c r="C639" i="1"/>
  <c r="AS228" i="2"/>
  <c r="AP155"/>
  <c r="D639" i="1"/>
  <c r="AT228" i="2"/>
  <c r="F155"/>
  <c r="Q8" i="3"/>
  <c r="AI8"/>
  <c r="X155" i="2"/>
  <c r="AG155"/>
  <c r="O155"/>
  <c r="L71"/>
  <c r="B143"/>
  <c r="J143"/>
  <c r="R143"/>
  <c r="Z143"/>
  <c r="AH143"/>
  <c r="AP143"/>
  <c r="L69"/>
  <c r="B141"/>
  <c r="L67"/>
  <c r="B139"/>
  <c r="L65"/>
  <c r="B137"/>
  <c r="L63"/>
  <c r="B135"/>
  <c r="L61"/>
  <c r="B133"/>
  <c r="L59"/>
  <c r="B131"/>
  <c r="L57"/>
  <c r="B129"/>
  <c r="L55"/>
  <c r="B127"/>
  <c r="L53"/>
  <c r="B125"/>
  <c r="L51"/>
  <c r="B123"/>
  <c r="L49"/>
  <c r="B121"/>
  <c r="L47"/>
  <c r="B119"/>
  <c r="L45"/>
  <c r="B117"/>
  <c r="L68"/>
  <c r="B140"/>
  <c r="L66"/>
  <c r="B138"/>
  <c r="L64"/>
  <c r="B136"/>
  <c r="L62"/>
  <c r="B134"/>
  <c r="L60"/>
  <c r="B132"/>
  <c r="L58"/>
  <c r="B130"/>
  <c r="L56"/>
  <c r="B128"/>
  <c r="L54"/>
  <c r="B126"/>
  <c r="L52"/>
  <c r="B124"/>
  <c r="L50"/>
  <c r="B122"/>
  <c r="L48"/>
  <c r="B120"/>
  <c r="L46"/>
  <c r="B118"/>
  <c r="J115"/>
  <c r="R115"/>
  <c r="Z115"/>
  <c r="AH115"/>
  <c r="AP115"/>
  <c r="B152"/>
  <c r="J116"/>
  <c r="R116"/>
  <c r="Z116"/>
  <c r="AH116"/>
  <c r="AP116"/>
  <c r="B153"/>
  <c r="K448" i="1"/>
  <c r="T448"/>
  <c r="B483"/>
  <c r="K483"/>
  <c r="K444"/>
  <c r="T444"/>
  <c r="B479"/>
  <c r="K479"/>
  <c r="K440"/>
  <c r="T440"/>
  <c r="B475"/>
  <c r="K475"/>
  <c r="K436"/>
  <c r="T436"/>
  <c r="B471"/>
  <c r="K471"/>
  <c r="K432"/>
  <c r="T432"/>
  <c r="B467"/>
  <c r="K467"/>
  <c r="K428"/>
  <c r="T428"/>
  <c r="B463"/>
  <c r="K463"/>
  <c r="K446"/>
  <c r="T446"/>
  <c r="B481"/>
  <c r="K481"/>
  <c r="K442"/>
  <c r="T442"/>
  <c r="B477"/>
  <c r="K477"/>
  <c r="K438"/>
  <c r="T438"/>
  <c r="B473"/>
  <c r="K473"/>
  <c r="K434"/>
  <c r="T434"/>
  <c r="B469"/>
  <c r="K469"/>
  <c r="K430"/>
  <c r="T430"/>
  <c r="B465"/>
  <c r="K465"/>
  <c r="K426"/>
  <c r="T426"/>
  <c r="B461"/>
  <c r="K461"/>
  <c r="K447"/>
  <c r="T447"/>
  <c r="B482"/>
  <c r="K482"/>
  <c r="K443"/>
  <c r="T443"/>
  <c r="B478"/>
  <c r="K478"/>
  <c r="K439"/>
  <c r="T439"/>
  <c r="B474"/>
  <c r="K474"/>
  <c r="K435"/>
  <c r="T435"/>
  <c r="B470"/>
  <c r="K470"/>
  <c r="K431"/>
  <c r="T431"/>
  <c r="B466"/>
  <c r="K466"/>
  <c r="K427"/>
  <c r="T427"/>
  <c r="B462"/>
  <c r="K462"/>
  <c r="K449"/>
  <c r="T449"/>
  <c r="B484"/>
  <c r="K484"/>
  <c r="K445"/>
  <c r="T445"/>
  <c r="B480"/>
  <c r="K480"/>
  <c r="K441"/>
  <c r="T441"/>
  <c r="B476"/>
  <c r="K476"/>
  <c r="K437"/>
  <c r="T437"/>
  <c r="B472"/>
  <c r="K472"/>
  <c r="K433"/>
  <c r="T433"/>
  <c r="B468"/>
  <c r="K468"/>
  <c r="K429"/>
  <c r="T429"/>
  <c r="B464"/>
  <c r="K464"/>
  <c r="K425"/>
  <c r="T425"/>
  <c r="B460"/>
  <c r="K460"/>
  <c r="B451"/>
  <c r="K416"/>
  <c r="T416"/>
  <c r="AC416"/>
  <c r="B424"/>
  <c r="K389"/>
  <c r="T389"/>
  <c r="AC389"/>
  <c r="B450"/>
  <c r="K415"/>
  <c r="T415"/>
  <c r="AC415"/>
  <c r="B380"/>
  <c r="K380"/>
  <c r="B417"/>
  <c r="K345"/>
  <c r="T345"/>
  <c r="N71"/>
  <c r="C9" i="2"/>
  <c r="B70"/>
  <c r="B105"/>
  <c r="L105"/>
  <c r="V105"/>
  <c r="AF105"/>
  <c r="L35"/>
  <c r="B35" i="3"/>
  <c r="K35"/>
  <c r="T35"/>
  <c r="AC35"/>
  <c r="B72" i="2"/>
  <c r="B107"/>
  <c r="L107"/>
  <c r="V107"/>
  <c r="AF107"/>
  <c r="L37"/>
  <c r="B37" i="3"/>
  <c r="K37"/>
  <c r="T37"/>
  <c r="AC37"/>
  <c r="P72" i="1"/>
  <c r="G73"/>
  <c r="O72"/>
  <c r="F73"/>
  <c r="M71"/>
  <c r="D72"/>
  <c r="S18"/>
  <c r="K17"/>
  <c r="O17"/>
  <c r="T18"/>
  <c r="L14"/>
  <c r="N13"/>
  <c r="E14"/>
  <c r="F13"/>
  <c r="H266" i="2"/>
  <c r="R18" i="1"/>
  <c r="H17"/>
  <c r="S256"/>
  <c r="R56" i="2"/>
  <c r="S56"/>
  <c r="T255" i="1"/>
  <c r="P263" i="2"/>
  <c r="Q263"/>
  <c r="M8" i="3"/>
  <c r="AE8"/>
  <c r="AX226" i="2"/>
  <c r="BG263"/>
  <c r="Z263"/>
  <c r="AA263"/>
  <c r="N8" i="3"/>
  <c r="AF8"/>
  <c r="AY226" i="2"/>
  <c r="AT263"/>
  <c r="AU263"/>
  <c r="P8" i="3"/>
  <c r="AH8"/>
  <c r="BA226" i="2"/>
  <c r="BB266"/>
  <c r="BH155"/>
  <c r="AJ263"/>
  <c r="AK263"/>
  <c r="O8" i="3"/>
  <c r="AG8"/>
  <c r="AZ226" i="2"/>
  <c r="F263"/>
  <c r="G263"/>
  <c r="L8" i="3"/>
  <c r="AD8"/>
  <c r="AW226" i="2"/>
  <c r="R79"/>
  <c r="AL79"/>
  <c r="R10"/>
  <c r="R80"/>
  <c r="Q205" i="1"/>
  <c r="AE403"/>
  <c r="L130" i="2"/>
  <c r="AU228"/>
  <c r="AQ307"/>
  <c r="S78"/>
  <c r="E397" i="1"/>
  <c r="G392"/>
  <c r="G397"/>
  <c r="C395"/>
  <c r="L395"/>
  <c r="C396"/>
  <c r="U396"/>
  <c r="E123" i="2"/>
  <c r="G395" i="1"/>
  <c r="Y395"/>
  <c r="AK122" i="2"/>
  <c r="F395" i="1"/>
  <c r="O395"/>
  <c r="F396"/>
  <c r="O396"/>
  <c r="C391"/>
  <c r="L391"/>
  <c r="G155" i="2"/>
  <c r="C397" i="1"/>
  <c r="L397"/>
  <c r="E392"/>
  <c r="N392"/>
  <c r="C390"/>
  <c r="L390"/>
  <c r="D394"/>
  <c r="M394"/>
  <c r="E391"/>
  <c r="N391"/>
  <c r="Y155" i="2"/>
  <c r="F389" i="1"/>
  <c r="O389"/>
  <c r="C389"/>
  <c r="L389"/>
  <c r="G394"/>
  <c r="P394"/>
  <c r="C392"/>
  <c r="U392"/>
  <c r="E119" i="2"/>
  <c r="F393" i="1"/>
  <c r="X393"/>
  <c r="AC120" i="2"/>
  <c r="B423" i="1"/>
  <c r="B458"/>
  <c r="K458"/>
  <c r="G393"/>
  <c r="Y393"/>
  <c r="AK120" i="2"/>
  <c r="E390" i="1"/>
  <c r="W390"/>
  <c r="U117" i="2"/>
  <c r="G389" i="1"/>
  <c r="Y389"/>
  <c r="AK116" i="2"/>
  <c r="G396" i="1"/>
  <c r="Y396"/>
  <c r="AK123" i="2"/>
  <c r="D393" i="1"/>
  <c r="V393"/>
  <c r="M120" i="2"/>
  <c r="K388" i="1"/>
  <c r="T388"/>
  <c r="AC388"/>
  <c r="G391"/>
  <c r="Y391"/>
  <c r="AK118" i="2"/>
  <c r="D391" i="1"/>
  <c r="V391"/>
  <c r="M118" i="2"/>
  <c r="D390" i="1"/>
  <c r="M390"/>
  <c r="G390"/>
  <c r="Y390"/>
  <c r="AK117" i="2"/>
  <c r="AH400" i="1"/>
  <c r="AJ127" i="2"/>
  <c r="D392" i="1"/>
  <c r="V392"/>
  <c r="M119" i="2"/>
  <c r="Q73" i="1"/>
  <c r="H74"/>
  <c r="H207"/>
  <c r="H11" i="2"/>
  <c r="H81"/>
  <c r="I9"/>
  <c r="S8"/>
  <c r="L416" i="1"/>
  <c r="F143" i="2"/>
  <c r="R68"/>
  <c r="N394" i="1"/>
  <c r="U158" i="2"/>
  <c r="Y416" i="1"/>
  <c r="AK143" i="2"/>
  <c r="AF411" i="1"/>
  <c r="E304"/>
  <c r="E396"/>
  <c r="N396"/>
  <c r="AF406"/>
  <c r="E299"/>
  <c r="F392"/>
  <c r="O392"/>
  <c r="D395"/>
  <c r="M395"/>
  <c r="F397"/>
  <c r="X397"/>
  <c r="AC124" i="2"/>
  <c r="D396" i="1"/>
  <c r="V396"/>
  <c r="M123" i="2"/>
  <c r="E395" i="1"/>
  <c r="N395"/>
  <c r="F394"/>
  <c r="O394"/>
  <c r="AE416"/>
  <c r="L143" i="2"/>
  <c r="D389" i="1"/>
  <c r="F390"/>
  <c r="X390"/>
  <c r="AC117" i="2"/>
  <c r="E389" i="1"/>
  <c r="W389"/>
  <c r="U116" i="2"/>
  <c r="AZ156"/>
  <c r="BA156"/>
  <c r="AY157"/>
  <c r="AF408" i="1"/>
  <c r="T135" i="2"/>
  <c r="C393" i="1"/>
  <c r="U393"/>
  <c r="E120" i="2"/>
  <c r="AD411" i="1"/>
  <c r="D138" i="2"/>
  <c r="D397" i="1"/>
  <c r="V397"/>
  <c r="M124" i="2"/>
  <c r="C394" i="1"/>
  <c r="L394"/>
  <c r="E393"/>
  <c r="N393"/>
  <c r="F391"/>
  <c r="O391"/>
  <c r="Q416"/>
  <c r="Z416"/>
  <c r="AS143" i="2"/>
  <c r="AW178"/>
  <c r="AR252"/>
  <c r="AV178"/>
  <c r="AT141"/>
  <c r="AU141"/>
  <c r="AV179"/>
  <c r="AT142"/>
  <c r="AU142"/>
  <c r="AW179"/>
  <c r="AR253"/>
  <c r="AD414" i="1"/>
  <c r="D141" i="2"/>
  <c r="V415" i="1"/>
  <c r="M142" i="2"/>
  <c r="AE400" i="1"/>
  <c r="D293"/>
  <c r="AE411"/>
  <c r="L138" i="2"/>
  <c r="AE409" i="1"/>
  <c r="D302"/>
  <c r="AH403"/>
  <c r="AJ130" i="2"/>
  <c r="AD409" i="1"/>
  <c r="D136" i="2"/>
  <c r="AG407" i="1"/>
  <c r="AB134" i="2"/>
  <c r="AF410" i="1"/>
  <c r="E303"/>
  <c r="AG400"/>
  <c r="F293"/>
  <c r="AG399"/>
  <c r="AB126" i="2"/>
  <c r="AF403" i="1"/>
  <c r="E296"/>
  <c r="W416"/>
  <c r="U143" i="2"/>
  <c r="AH406" i="1"/>
  <c r="AJ133" i="2"/>
  <c r="X416" i="1"/>
  <c r="AC143" i="2"/>
  <c r="AH402" i="1"/>
  <c r="G295"/>
  <c r="AE410"/>
  <c r="D303"/>
  <c r="AF401"/>
  <c r="E294"/>
  <c r="AG401"/>
  <c r="AB128" i="2"/>
  <c r="AH399" i="1"/>
  <c r="G292"/>
  <c r="AH414"/>
  <c r="AJ141" i="2"/>
  <c r="AF407" i="1"/>
  <c r="AG411"/>
  <c r="AD410"/>
  <c r="AE408"/>
  <c r="AE406"/>
  <c r="AD405"/>
  <c r="AE402"/>
  <c r="AE404"/>
  <c r="AG406"/>
  <c r="AD402"/>
  <c r="AH405"/>
  <c r="AM176" i="2"/>
  <c r="AI250"/>
  <c r="AL139"/>
  <c r="AN176"/>
  <c r="AJ250"/>
  <c r="AM173"/>
  <c r="AI247"/>
  <c r="AL136"/>
  <c r="AN173"/>
  <c r="AJ247"/>
  <c r="D167"/>
  <c r="D241"/>
  <c r="F130"/>
  <c r="C167"/>
  <c r="AM165"/>
  <c r="AI239"/>
  <c r="AN165"/>
  <c r="AJ239"/>
  <c r="AL128"/>
  <c r="AM175"/>
  <c r="AI249"/>
  <c r="AN175"/>
  <c r="AJ249"/>
  <c r="AL138"/>
  <c r="N397" i="1"/>
  <c r="W397"/>
  <c r="U124" i="2"/>
  <c r="AN168"/>
  <c r="AJ242"/>
  <c r="AL131"/>
  <c r="AM168"/>
  <c r="AI242"/>
  <c r="C171"/>
  <c r="D171"/>
  <c r="D245"/>
  <c r="F134"/>
  <c r="AM174"/>
  <c r="AI248"/>
  <c r="AN174"/>
  <c r="AJ248"/>
  <c r="AL137"/>
  <c r="AD168"/>
  <c r="AD131"/>
  <c r="AE168"/>
  <c r="AB242"/>
  <c r="AN172"/>
  <c r="AJ246"/>
  <c r="AM172"/>
  <c r="AI246"/>
  <c r="AL135"/>
  <c r="AM180"/>
  <c r="AI254"/>
  <c r="AL143"/>
  <c r="AN180"/>
  <c r="AJ254"/>
  <c r="L415" i="1"/>
  <c r="U415"/>
  <c r="E142" i="2"/>
  <c r="V168"/>
  <c r="T242"/>
  <c r="U168"/>
  <c r="V131"/>
  <c r="AL134"/>
  <c r="AM171"/>
  <c r="AI245"/>
  <c r="AN171"/>
  <c r="AJ245"/>
  <c r="L163"/>
  <c r="N126"/>
  <c r="M163"/>
  <c r="U163"/>
  <c r="V163"/>
  <c r="T237"/>
  <c r="V126"/>
  <c r="U178"/>
  <c r="V141"/>
  <c r="V178"/>
  <c r="T252"/>
  <c r="D168"/>
  <c r="D242"/>
  <c r="C168"/>
  <c r="F131"/>
  <c r="AD166"/>
  <c r="AD129"/>
  <c r="AE166"/>
  <c r="AB240"/>
  <c r="C165"/>
  <c r="F128"/>
  <c r="D165"/>
  <c r="D239"/>
  <c r="AD167"/>
  <c r="AE167"/>
  <c r="AB241"/>
  <c r="AD130"/>
  <c r="U164"/>
  <c r="V127"/>
  <c r="V164"/>
  <c r="T238"/>
  <c r="Y392" i="1"/>
  <c r="AK119" i="2"/>
  <c r="P392" i="1"/>
  <c r="AE169" i="2"/>
  <c r="AB243"/>
  <c r="AD169"/>
  <c r="AD132"/>
  <c r="AD176"/>
  <c r="AE176"/>
  <c r="AB250"/>
  <c r="AD139"/>
  <c r="AG404" i="1"/>
  <c r="N390"/>
  <c r="O393"/>
  <c r="V173" i="2"/>
  <c r="T247"/>
  <c r="U173"/>
  <c r="V136"/>
  <c r="AD178"/>
  <c r="AE178"/>
  <c r="AB252"/>
  <c r="AD141"/>
  <c r="U166"/>
  <c r="V129"/>
  <c r="V166"/>
  <c r="T240"/>
  <c r="AE173"/>
  <c r="AB247"/>
  <c r="AD136"/>
  <c r="AD173"/>
  <c r="AF404" i="1"/>
  <c r="U169" i="2"/>
  <c r="V169"/>
  <c r="T243"/>
  <c r="V132"/>
  <c r="C172"/>
  <c r="D172"/>
  <c r="D246"/>
  <c r="F135"/>
  <c r="D176"/>
  <c r="D250"/>
  <c r="F139"/>
  <c r="C176"/>
  <c r="AD172"/>
  <c r="AE172"/>
  <c r="AB246"/>
  <c r="AD135"/>
  <c r="V139"/>
  <c r="V176"/>
  <c r="T250"/>
  <c r="U176"/>
  <c r="AD174"/>
  <c r="AD137"/>
  <c r="AE174"/>
  <c r="L176"/>
  <c r="N139"/>
  <c r="M176"/>
  <c r="L250"/>
  <c r="L178"/>
  <c r="M178"/>
  <c r="L252"/>
  <c r="N141"/>
  <c r="C163"/>
  <c r="D163"/>
  <c r="F126"/>
  <c r="L169"/>
  <c r="N132"/>
  <c r="M169"/>
  <c r="L243"/>
  <c r="Y415" i="1"/>
  <c r="AK142" i="2"/>
  <c r="P415" i="1"/>
  <c r="Y397"/>
  <c r="AK124" i="2"/>
  <c r="P397" i="1"/>
  <c r="L171" i="2"/>
  <c r="M171"/>
  <c r="L245"/>
  <c r="N134"/>
  <c r="C170"/>
  <c r="D170"/>
  <c r="D244"/>
  <c r="F133"/>
  <c r="L165"/>
  <c r="N128"/>
  <c r="M165"/>
  <c r="L239"/>
  <c r="L396" i="1"/>
  <c r="D164" i="2"/>
  <c r="D238"/>
  <c r="C164"/>
  <c r="F127"/>
  <c r="F137"/>
  <c r="D174"/>
  <c r="D248"/>
  <c r="C174"/>
  <c r="L172"/>
  <c r="M172"/>
  <c r="L246"/>
  <c r="N135"/>
  <c r="M170"/>
  <c r="L244"/>
  <c r="N133"/>
  <c r="L170"/>
  <c r="AF399" i="1"/>
  <c r="AF414"/>
  <c r="AD404"/>
  <c r="AH412"/>
  <c r="AH409"/>
  <c r="AE414"/>
  <c r="AG402"/>
  <c r="AD403"/>
  <c r="AD401"/>
  <c r="AH401"/>
  <c r="AH411"/>
  <c r="AM170" i="2"/>
  <c r="AI244"/>
  <c r="AN170"/>
  <c r="AJ244"/>
  <c r="AL133"/>
  <c r="AG403" i="1"/>
  <c r="AF400"/>
  <c r="P393"/>
  <c r="U397"/>
  <c r="E124" i="2"/>
  <c r="AD399" i="1"/>
  <c r="AH404"/>
  <c r="AE405"/>
  <c r="AN164" i="2"/>
  <c r="AJ238"/>
  <c r="AL127"/>
  <c r="AM164"/>
  <c r="AI238"/>
  <c r="M173"/>
  <c r="L247"/>
  <c r="L173"/>
  <c r="N136"/>
  <c r="AG405" i="1"/>
  <c r="AD407"/>
  <c r="AG412"/>
  <c r="AH410"/>
  <c r="C178" i="2"/>
  <c r="D178"/>
  <c r="D252"/>
  <c r="F141"/>
  <c r="D175"/>
  <c r="D249"/>
  <c r="C175"/>
  <c r="F138"/>
  <c r="L164"/>
  <c r="M164"/>
  <c r="L238"/>
  <c r="N127"/>
  <c r="N131"/>
  <c r="M168"/>
  <c r="L242"/>
  <c r="L168"/>
  <c r="P395" i="1"/>
  <c r="AL130" i="2"/>
  <c r="AM167"/>
  <c r="AI241"/>
  <c r="AN167"/>
  <c r="AJ241"/>
  <c r="L179"/>
  <c r="N142"/>
  <c r="M179"/>
  <c r="L253"/>
  <c r="L175"/>
  <c r="M175"/>
  <c r="N138"/>
  <c r="AE407" i="1"/>
  <c r="AF409"/>
  <c r="AD406"/>
  <c r="AE401"/>
  <c r="AG414"/>
  <c r="AF402"/>
  <c r="AH408"/>
  <c r="AG409"/>
  <c r="L180" i="2"/>
  <c r="M180"/>
  <c r="L254"/>
  <c r="N143"/>
  <c r="AD400" i="1"/>
  <c r="AE170" i="2"/>
  <c r="AB244"/>
  <c r="AD170"/>
  <c r="AD133"/>
  <c r="C166"/>
  <c r="F129"/>
  <c r="D166"/>
  <c r="D240"/>
  <c r="AM169"/>
  <c r="AI243"/>
  <c r="AL132"/>
  <c r="AN169"/>
  <c r="AJ243"/>
  <c r="AF405" i="1"/>
  <c r="AH407"/>
  <c r="AD408"/>
  <c r="AD412"/>
  <c r="AG408"/>
  <c r="AF412"/>
  <c r="AL141" i="2"/>
  <c r="AM178"/>
  <c r="AI252"/>
  <c r="AN178"/>
  <c r="AJ252"/>
  <c r="L167"/>
  <c r="M167"/>
  <c r="L241"/>
  <c r="N130"/>
  <c r="AG410" i="1"/>
  <c r="G417"/>
  <c r="H417"/>
  <c r="F417"/>
  <c r="C417"/>
  <c r="E417"/>
  <c r="D417"/>
  <c r="AE412"/>
  <c r="V165" i="2"/>
  <c r="T239"/>
  <c r="U165"/>
  <c r="V128"/>
  <c r="V394" i="1"/>
  <c r="M121" i="2"/>
  <c r="AD165"/>
  <c r="AE165"/>
  <c r="AB239"/>
  <c r="AD128"/>
  <c r="AD143"/>
  <c r="AD180"/>
  <c r="AE180"/>
  <c r="AB254"/>
  <c r="AD164"/>
  <c r="AD127"/>
  <c r="AE164"/>
  <c r="D169"/>
  <c r="D243"/>
  <c r="C169"/>
  <c r="F132"/>
  <c r="V170"/>
  <c r="T244"/>
  <c r="U170"/>
  <c r="V133"/>
  <c r="AD126"/>
  <c r="AD163"/>
  <c r="AE163"/>
  <c r="AB237"/>
  <c r="U172"/>
  <c r="V172"/>
  <c r="T246"/>
  <c r="V135"/>
  <c r="M391" i="1"/>
  <c r="W391"/>
  <c r="U118" i="2"/>
  <c r="U175"/>
  <c r="V175"/>
  <c r="T249"/>
  <c r="V138"/>
  <c r="U167"/>
  <c r="V167"/>
  <c r="T241"/>
  <c r="V130"/>
  <c r="C173"/>
  <c r="D173"/>
  <c r="F136"/>
  <c r="AD134"/>
  <c r="AE171"/>
  <c r="AB245"/>
  <c r="AD171"/>
  <c r="V395" i="1"/>
  <c r="M122" i="2"/>
  <c r="AN163"/>
  <c r="AJ237"/>
  <c r="AL126"/>
  <c r="AM163"/>
  <c r="AI237"/>
  <c r="L166"/>
  <c r="M166"/>
  <c r="L240"/>
  <c r="N129"/>
  <c r="O415" i="1"/>
  <c r="X415"/>
  <c r="AC142" i="2"/>
  <c r="U174"/>
  <c r="V137"/>
  <c r="V174"/>
  <c r="T248"/>
  <c r="AN166"/>
  <c r="AJ240"/>
  <c r="AM166"/>
  <c r="AI240"/>
  <c r="AL129"/>
  <c r="N137"/>
  <c r="L174"/>
  <c r="M174"/>
  <c r="L248"/>
  <c r="N415" i="1"/>
  <c r="W415"/>
  <c r="U142" i="2"/>
  <c r="AE399" i="1"/>
  <c r="U171" i="2"/>
  <c r="V134"/>
  <c r="V171"/>
  <c r="T245"/>
  <c r="AD175"/>
  <c r="AE175"/>
  <c r="AB249"/>
  <c r="AD138"/>
  <c r="V180"/>
  <c r="T254"/>
  <c r="V143"/>
  <c r="U180"/>
  <c r="N267" i="1"/>
  <c r="M67" i="2"/>
  <c r="H257" i="1"/>
  <c r="H58" i="2"/>
  <c r="AG78"/>
  <c r="S305"/>
  <c r="AA306"/>
  <c r="C251" i="1"/>
  <c r="I251"/>
  <c r="C51" i="2"/>
  <c r="I51"/>
  <c r="K305"/>
  <c r="C79"/>
  <c r="I79"/>
  <c r="AI306"/>
  <c r="Q79"/>
  <c r="AK79"/>
  <c r="D10"/>
  <c r="D80"/>
  <c r="D205" i="1"/>
  <c r="F11" i="2"/>
  <c r="F81"/>
  <c r="F206" i="1"/>
  <c r="G11" i="2"/>
  <c r="G81"/>
  <c r="G206" i="1"/>
  <c r="C10" i="2"/>
  <c r="C205" i="1"/>
  <c r="C73"/>
  <c r="N9" i="2"/>
  <c r="M204" i="1"/>
  <c r="P10" i="2"/>
  <c r="P80"/>
  <c r="AJ80"/>
  <c r="O205" i="1"/>
  <c r="Q10" i="2"/>
  <c r="P205" i="1"/>
  <c r="O9" i="2"/>
  <c r="O79"/>
  <c r="AI79"/>
  <c r="N204" i="1"/>
  <c r="E10" i="2"/>
  <c r="E80"/>
  <c r="E205" i="1"/>
  <c r="M10" i="2"/>
  <c r="L205" i="1"/>
  <c r="M9" i="2"/>
  <c r="L204" i="1"/>
  <c r="N43" i="4"/>
  <c r="W42"/>
  <c r="D11" i="3"/>
  <c r="X42" i="4"/>
  <c r="E11" i="3"/>
  <c r="O43" i="4"/>
  <c r="M43"/>
  <c r="V42"/>
  <c r="C11" i="3"/>
  <c r="R43" i="4"/>
  <c r="AA42"/>
  <c r="P43"/>
  <c r="Y42"/>
  <c r="F11" i="3"/>
  <c r="Z42" i="4"/>
  <c r="G11" i="3"/>
  <c r="Q43" i="4"/>
  <c r="N72" i="1"/>
  <c r="E73"/>
  <c r="N73"/>
  <c r="R266" i="2"/>
  <c r="AB266"/>
  <c r="AL266"/>
  <c r="AV266"/>
  <c r="BF266"/>
  <c r="F308"/>
  <c r="N308"/>
  <c r="V308"/>
  <c r="AD308"/>
  <c r="AL308"/>
  <c r="AT308"/>
  <c r="O156"/>
  <c r="AG156"/>
  <c r="X156"/>
  <c r="S263"/>
  <c r="L305"/>
  <c r="AW263"/>
  <c r="AJ305"/>
  <c r="F156"/>
  <c r="AP156"/>
  <c r="C640" i="1"/>
  <c r="AS229" i="2"/>
  <c r="D640" i="1"/>
  <c r="AT229" i="2"/>
  <c r="AM263"/>
  <c r="AB305"/>
  <c r="AC263"/>
  <c r="T305"/>
  <c r="D305"/>
  <c r="I263"/>
  <c r="L72"/>
  <c r="B144"/>
  <c r="L70"/>
  <c r="B142"/>
  <c r="K153"/>
  <c r="T153"/>
  <c r="AC153"/>
  <c r="AL153"/>
  <c r="AU153"/>
  <c r="B190"/>
  <c r="J190"/>
  <c r="K152"/>
  <c r="T152"/>
  <c r="AC152"/>
  <c r="AL152"/>
  <c r="AU152"/>
  <c r="B189"/>
  <c r="J189"/>
  <c r="J118"/>
  <c r="R118"/>
  <c r="Z118"/>
  <c r="AH118"/>
  <c r="AP118"/>
  <c r="B155"/>
  <c r="J120"/>
  <c r="R120"/>
  <c r="Z120"/>
  <c r="AH120"/>
  <c r="AP120"/>
  <c r="B157"/>
  <c r="J122"/>
  <c r="R122"/>
  <c r="Z122"/>
  <c r="AH122"/>
  <c r="AP122"/>
  <c r="B159"/>
  <c r="J124"/>
  <c r="R124"/>
  <c r="Z124"/>
  <c r="AH124"/>
  <c r="AP124"/>
  <c r="B161"/>
  <c r="J126"/>
  <c r="R126"/>
  <c r="Z126"/>
  <c r="AH126"/>
  <c r="AP126"/>
  <c r="B163"/>
  <c r="J128"/>
  <c r="R128"/>
  <c r="Z128"/>
  <c r="AH128"/>
  <c r="AP128"/>
  <c r="B165"/>
  <c r="B167"/>
  <c r="J130"/>
  <c r="R130"/>
  <c r="Z130"/>
  <c r="AH130"/>
  <c r="AP130"/>
  <c r="B169"/>
  <c r="J132"/>
  <c r="R132"/>
  <c r="Z132"/>
  <c r="AH132"/>
  <c r="AP132"/>
  <c r="B171"/>
  <c r="J134"/>
  <c r="R134"/>
  <c r="Z134"/>
  <c r="AH134"/>
  <c r="AP134"/>
  <c r="B173"/>
  <c r="J136"/>
  <c r="R136"/>
  <c r="Z136"/>
  <c r="AH136"/>
  <c r="AP136"/>
  <c r="B175"/>
  <c r="J138"/>
  <c r="R138"/>
  <c r="Z138"/>
  <c r="AH138"/>
  <c r="AP138"/>
  <c r="B177"/>
  <c r="J140"/>
  <c r="R140"/>
  <c r="Z140"/>
  <c r="AH140"/>
  <c r="AP140"/>
  <c r="J117"/>
  <c r="R117"/>
  <c r="Z117"/>
  <c r="AH117"/>
  <c r="AP117"/>
  <c r="B154"/>
  <c r="J119"/>
  <c r="R119"/>
  <c r="Z119"/>
  <c r="AH119"/>
  <c r="AP119"/>
  <c r="B156"/>
  <c r="J121"/>
  <c r="R121"/>
  <c r="Z121"/>
  <c r="AH121"/>
  <c r="AP121"/>
  <c r="B158"/>
  <c r="J123"/>
  <c r="R123"/>
  <c r="Z123"/>
  <c r="AH123"/>
  <c r="AP123"/>
  <c r="B160"/>
  <c r="J125"/>
  <c r="R125"/>
  <c r="Z125"/>
  <c r="AH125"/>
  <c r="AP125"/>
  <c r="B162"/>
  <c r="J127"/>
  <c r="R127"/>
  <c r="Z127"/>
  <c r="AH127"/>
  <c r="AP127"/>
  <c r="B164"/>
  <c r="J129"/>
  <c r="R129"/>
  <c r="Z129"/>
  <c r="AH129"/>
  <c r="AP129"/>
  <c r="B166"/>
  <c r="J131"/>
  <c r="R131"/>
  <c r="Z131"/>
  <c r="AH131"/>
  <c r="AP131"/>
  <c r="B168"/>
  <c r="B170"/>
  <c r="J133"/>
  <c r="R133"/>
  <c r="Z133"/>
  <c r="AH133"/>
  <c r="AP133"/>
  <c r="B172"/>
  <c r="J135"/>
  <c r="R135"/>
  <c r="Z135"/>
  <c r="AH135"/>
  <c r="AP135"/>
  <c r="B174"/>
  <c r="J137"/>
  <c r="R137"/>
  <c r="Z137"/>
  <c r="AH137"/>
  <c r="AP137"/>
  <c r="B176"/>
  <c r="J139"/>
  <c r="R139"/>
  <c r="Z139"/>
  <c r="AH139"/>
  <c r="AP139"/>
  <c r="B178"/>
  <c r="J141"/>
  <c r="R141"/>
  <c r="Z141"/>
  <c r="AH141"/>
  <c r="AP141"/>
  <c r="K450" i="1"/>
  <c r="T450"/>
  <c r="B485"/>
  <c r="K485"/>
  <c r="K424"/>
  <c r="T424"/>
  <c r="B459"/>
  <c r="K459"/>
  <c r="K451"/>
  <c r="T451"/>
  <c r="B486"/>
  <c r="K486"/>
  <c r="K423"/>
  <c r="T423"/>
  <c r="B452"/>
  <c r="K417"/>
  <c r="T417"/>
  <c r="AC417"/>
  <c r="M72"/>
  <c r="D73"/>
  <c r="O73"/>
  <c r="F74"/>
  <c r="G74"/>
  <c r="P73"/>
  <c r="R19"/>
  <c r="H18"/>
  <c r="E15"/>
  <c r="F14"/>
  <c r="H267" i="2"/>
  <c r="L15" i="1"/>
  <c r="N14"/>
  <c r="K18"/>
  <c r="S19"/>
  <c r="T19"/>
  <c r="O18"/>
  <c r="U395"/>
  <c r="E122" i="2"/>
  <c r="D296" i="1"/>
  <c r="BA289" i="2"/>
  <c r="BB141"/>
  <c r="BB267"/>
  <c r="BH156"/>
  <c r="S257" i="1"/>
  <c r="R57" i="2"/>
  <c r="S57"/>
  <c r="T256" i="1"/>
  <c r="U390"/>
  <c r="E117" i="2"/>
  <c r="T133"/>
  <c r="BA290"/>
  <c r="BB142"/>
  <c r="BD265"/>
  <c r="BE265"/>
  <c r="AR307"/>
  <c r="BB228"/>
  <c r="AF416" i="1"/>
  <c r="T143" i="2"/>
  <c r="W143"/>
  <c r="R11"/>
  <c r="Q206" i="1"/>
  <c r="T130" i="2"/>
  <c r="AS307"/>
  <c r="AU307"/>
  <c r="BG265"/>
  <c r="AU229"/>
  <c r="AQ253"/>
  <c r="AQ216"/>
  <c r="AQ252"/>
  <c r="AQ215"/>
  <c r="AQ308"/>
  <c r="R81"/>
  <c r="AM78"/>
  <c r="AC78"/>
  <c r="AB78"/>
  <c r="AL80"/>
  <c r="D304" i="1"/>
  <c r="F294"/>
  <c r="X21" i="3"/>
  <c r="P391" i="1"/>
  <c r="AQ155" i="2"/>
  <c r="V390" i="1"/>
  <c r="M117" i="2"/>
  <c r="M396" i="1"/>
  <c r="G296"/>
  <c r="Y23" i="3"/>
  <c r="W392" i="1"/>
  <c r="U119" i="2"/>
  <c r="G299" i="1"/>
  <c r="Y299"/>
  <c r="P396"/>
  <c r="AF394"/>
  <c r="T121" i="2"/>
  <c r="AH416" i="1"/>
  <c r="G309"/>
  <c r="U389"/>
  <c r="E116" i="2"/>
  <c r="X395" i="1"/>
  <c r="AC122" i="2"/>
  <c r="U391" i="1"/>
  <c r="E118" i="2"/>
  <c r="L392" i="1"/>
  <c r="G156" i="2"/>
  <c r="X396" i="1"/>
  <c r="AC123" i="2"/>
  <c r="X389" i="1"/>
  <c r="AC116" i="2"/>
  <c r="L136"/>
  <c r="O136"/>
  <c r="M392" i="1"/>
  <c r="M156" i="2"/>
  <c r="L230"/>
  <c r="P390" i="1"/>
  <c r="AH390"/>
  <c r="Y394"/>
  <c r="AK121" i="2"/>
  <c r="AH397" i="1"/>
  <c r="AJ124" i="2"/>
  <c r="V121"/>
  <c r="D180"/>
  <c r="D254"/>
  <c r="M393" i="1"/>
  <c r="L157" i="2"/>
  <c r="P389" i="1"/>
  <c r="AM153" i="2"/>
  <c r="AI227"/>
  <c r="W396" i="1"/>
  <c r="U123" i="2"/>
  <c r="X394" i="1"/>
  <c r="AC121" i="2"/>
  <c r="T128"/>
  <c r="W128"/>
  <c r="V158"/>
  <c r="T232"/>
  <c r="L393" i="1"/>
  <c r="C157" i="2"/>
  <c r="G293" i="1"/>
  <c r="P293"/>
  <c r="C302"/>
  <c r="L302"/>
  <c r="Q74"/>
  <c r="H12" i="2"/>
  <c r="H82"/>
  <c r="H75" i="1"/>
  <c r="H208"/>
  <c r="M397"/>
  <c r="M161" i="2"/>
  <c r="L235"/>
  <c r="E301" i="1"/>
  <c r="W301"/>
  <c r="AG396"/>
  <c r="AB123" i="2"/>
  <c r="T138"/>
  <c r="W138"/>
  <c r="I10"/>
  <c r="C306"/>
  <c r="S9"/>
  <c r="L127"/>
  <c r="O127"/>
  <c r="W395" i="1"/>
  <c r="U122" i="2"/>
  <c r="C304" i="1"/>
  <c r="L304"/>
  <c r="AD416"/>
  <c r="D143" i="2"/>
  <c r="G143"/>
  <c r="D309" i="1"/>
  <c r="M309"/>
  <c r="C180" i="2"/>
  <c r="C254"/>
  <c r="X392" i="1"/>
  <c r="AC119" i="2"/>
  <c r="R69"/>
  <c r="G138"/>
  <c r="AX179"/>
  <c r="AX178"/>
  <c r="O390" i="1"/>
  <c r="AD117" i="2"/>
  <c r="O143"/>
  <c r="T137"/>
  <c r="W137"/>
  <c r="AZ157"/>
  <c r="BA157"/>
  <c r="AY158"/>
  <c r="AE134"/>
  <c r="N389" i="1"/>
  <c r="U153" i="2"/>
  <c r="W393" i="1"/>
  <c r="U120" i="2"/>
  <c r="C307" i="1"/>
  <c r="U34" i="3"/>
  <c r="O397" i="1"/>
  <c r="AD124" i="2"/>
  <c r="U394" i="1"/>
  <c r="E121" i="2"/>
  <c r="AJ129"/>
  <c r="AM129"/>
  <c r="E309" i="1"/>
  <c r="N309"/>
  <c r="X391"/>
  <c r="AC118" i="2"/>
  <c r="F300" i="1"/>
  <c r="O300"/>
  <c r="Q417"/>
  <c r="AW180" i="2"/>
  <c r="AR254"/>
  <c r="AV180"/>
  <c r="AT143"/>
  <c r="AU143"/>
  <c r="W133"/>
  <c r="O130"/>
  <c r="AE415" i="1"/>
  <c r="AD392"/>
  <c r="D119" i="2"/>
  <c r="AF415" i="1"/>
  <c r="T142" i="2"/>
  <c r="W130"/>
  <c r="AE394" i="1"/>
  <c r="L121" i="2"/>
  <c r="O138"/>
  <c r="AM130"/>
  <c r="G141"/>
  <c r="G136"/>
  <c r="AE128"/>
  <c r="AO175"/>
  <c r="F292" i="1"/>
  <c r="O292"/>
  <c r="G307"/>
  <c r="Y307"/>
  <c r="AE126" i="2"/>
  <c r="AD397" i="1"/>
  <c r="C290"/>
  <c r="L137" i="2"/>
  <c r="O137"/>
  <c r="AJ126"/>
  <c r="AM126"/>
  <c r="AB127"/>
  <c r="AE127"/>
  <c r="AM141"/>
  <c r="AH415" i="1"/>
  <c r="G308"/>
  <c r="AH396"/>
  <c r="AJ123" i="2"/>
  <c r="AE392" i="1"/>
  <c r="L119" i="2"/>
  <c r="AG394" i="1"/>
  <c r="AB121" i="2"/>
  <c r="AG416" i="1"/>
  <c r="AM127" i="2"/>
  <c r="D287" i="1"/>
  <c r="D135" i="2"/>
  <c r="G135"/>
  <c r="C301" i="1"/>
  <c r="D127" i="2"/>
  <c r="G127"/>
  <c r="C293" i="1"/>
  <c r="AB136" i="2"/>
  <c r="AE136"/>
  <c r="F302" i="1"/>
  <c r="L128" i="2"/>
  <c r="O128"/>
  <c r="D294" i="1"/>
  <c r="AB131" i="2"/>
  <c r="AE131"/>
  <c r="F297" i="1"/>
  <c r="G289"/>
  <c r="AB133" i="2"/>
  <c r="AE133"/>
  <c r="F299" i="1"/>
  <c r="N303"/>
  <c r="W303"/>
  <c r="W30" i="3"/>
  <c r="M304" i="1"/>
  <c r="V304"/>
  <c r="V31" i="3"/>
  <c r="P296" i="1"/>
  <c r="Y296"/>
  <c r="N299"/>
  <c r="W299"/>
  <c r="W26" i="3"/>
  <c r="M302" i="1"/>
  <c r="V302"/>
  <c r="V29" i="3"/>
  <c r="L139" i="2"/>
  <c r="O139"/>
  <c r="D305" i="1"/>
  <c r="T139" i="2"/>
  <c r="W139"/>
  <c r="E305" i="1"/>
  <c r="AJ134" i="2"/>
  <c r="AM134"/>
  <c r="G300" i="1"/>
  <c r="L126" i="2"/>
  <c r="O126"/>
  <c r="D292" i="1"/>
  <c r="AD389"/>
  <c r="D134" i="2"/>
  <c r="G134"/>
  <c r="C300" i="1"/>
  <c r="L132" i="2"/>
  <c r="O132"/>
  <c r="D298" i="1"/>
  <c r="G290"/>
  <c r="T131" i="2"/>
  <c r="W131"/>
  <c r="E297" i="1"/>
  <c r="AG415"/>
  <c r="D128" i="2"/>
  <c r="G128"/>
  <c r="C294" i="1"/>
  <c r="AJ136" i="2"/>
  <c r="AM136"/>
  <c r="G302" i="1"/>
  <c r="T126" i="2"/>
  <c r="W126"/>
  <c r="E292" i="1"/>
  <c r="D137" i="2"/>
  <c r="G137"/>
  <c r="C303" i="1"/>
  <c r="T134" i="2"/>
  <c r="W134"/>
  <c r="E300" i="1"/>
  <c r="AJ135" i="2"/>
  <c r="AM135"/>
  <c r="G301" i="1"/>
  <c r="D133" i="2"/>
  <c r="G133"/>
  <c r="C299" i="1"/>
  <c r="AB132" i="2"/>
  <c r="AE132"/>
  <c r="F298" i="1"/>
  <c r="AJ131" i="2"/>
  <c r="AM131"/>
  <c r="G297" i="1"/>
  <c r="T127" i="2"/>
  <c r="W127"/>
  <c r="E293" i="1"/>
  <c r="D130" i="2"/>
  <c r="G130"/>
  <c r="C296" i="1"/>
  <c r="AJ139" i="2"/>
  <c r="AM139"/>
  <c r="G305" i="1"/>
  <c r="L131" i="2"/>
  <c r="O131"/>
  <c r="D297" i="1"/>
  <c r="D132" i="2"/>
  <c r="G132"/>
  <c r="C298" i="1"/>
  <c r="M296"/>
  <c r="V296"/>
  <c r="V23" i="3"/>
  <c r="P295" i="1"/>
  <c r="Y295"/>
  <c r="Y22" i="3"/>
  <c r="O294" i="1"/>
  <c r="X294"/>
  <c r="P307"/>
  <c r="W135" i="2"/>
  <c r="AB135"/>
  <c r="AE135"/>
  <c r="F301" i="1"/>
  <c r="T132" i="2"/>
  <c r="W132"/>
  <c r="E298" i="1"/>
  <c r="T129" i="2"/>
  <c r="W129"/>
  <c r="E295" i="1"/>
  <c r="T136" i="2"/>
  <c r="W136"/>
  <c r="E302" i="1"/>
  <c r="AJ137" i="2"/>
  <c r="AM137"/>
  <c r="G303" i="1"/>
  <c r="D126" i="2"/>
  <c r="G126"/>
  <c r="C292" i="1"/>
  <c r="AB130" i="2"/>
  <c r="AE130"/>
  <c r="F296" i="1"/>
  <c r="AJ138" i="2"/>
  <c r="AM138"/>
  <c r="G304" i="1"/>
  <c r="AB129" i="2"/>
  <c r="AE129"/>
  <c r="F295" i="1"/>
  <c r="D131" i="2"/>
  <c r="G131"/>
  <c r="C297" i="1"/>
  <c r="AJ132" i="2"/>
  <c r="AM132"/>
  <c r="G298" i="1"/>
  <c r="M303"/>
  <c r="V303"/>
  <c r="V30" i="3"/>
  <c r="P292" i="1"/>
  <c r="Y292"/>
  <c r="Y19" i="3"/>
  <c r="N304" i="1"/>
  <c r="W304"/>
  <c r="W31" i="3"/>
  <c r="M293" i="1"/>
  <c r="V293"/>
  <c r="V20" i="3"/>
  <c r="L133" i="2"/>
  <c r="O133"/>
  <c r="D299" i="1"/>
  <c r="AB137" i="2"/>
  <c r="AE137"/>
  <c r="F303" i="1"/>
  <c r="D139" i="2"/>
  <c r="G139"/>
  <c r="C305" i="1"/>
  <c r="AJ143" i="2"/>
  <c r="AM143"/>
  <c r="AB141"/>
  <c r="AE141"/>
  <c r="F307" i="1"/>
  <c r="L134" i="2"/>
  <c r="O134"/>
  <c r="D300" i="1"/>
  <c r="AB139" i="2"/>
  <c r="AE139"/>
  <c r="F305" i="1"/>
  <c r="AM133" i="2"/>
  <c r="AJ128"/>
  <c r="AM128"/>
  <c r="G294" i="1"/>
  <c r="L141" i="2"/>
  <c r="O141"/>
  <c r="D307" i="1"/>
  <c r="T141" i="2"/>
  <c r="W141"/>
  <c r="E307" i="1"/>
  <c r="D129" i="2"/>
  <c r="G129"/>
  <c r="C295" i="1"/>
  <c r="L129" i="2"/>
  <c r="O129"/>
  <c r="D295" i="1"/>
  <c r="L135" i="2"/>
  <c r="O135"/>
  <c r="D301" i="1"/>
  <c r="AB138" i="2"/>
  <c r="AE138"/>
  <c r="F304" i="1"/>
  <c r="N296"/>
  <c r="W296"/>
  <c r="W23" i="3"/>
  <c r="O293" i="1"/>
  <c r="X293"/>
  <c r="X20" i="3"/>
  <c r="N294" i="1"/>
  <c r="W294"/>
  <c r="W21" i="3"/>
  <c r="N301" i="1"/>
  <c r="AO166" i="2"/>
  <c r="AI203"/>
  <c r="AI200"/>
  <c r="AO163"/>
  <c r="L155"/>
  <c r="M155"/>
  <c r="N118"/>
  <c r="C243"/>
  <c r="C206"/>
  <c r="E169"/>
  <c r="N417" i="1"/>
  <c r="W417"/>
  <c r="U144" i="2"/>
  <c r="AI206"/>
  <c r="F121"/>
  <c r="D158"/>
  <c r="D232"/>
  <c r="C158"/>
  <c r="C249"/>
  <c r="E175"/>
  <c r="C212"/>
  <c r="C252"/>
  <c r="E178"/>
  <c r="C215"/>
  <c r="AI201"/>
  <c r="AO164"/>
  <c r="AL120"/>
  <c r="AN157"/>
  <c r="AJ231"/>
  <c r="AM157"/>
  <c r="AI231"/>
  <c r="C248"/>
  <c r="E174"/>
  <c r="C211"/>
  <c r="E163"/>
  <c r="D237"/>
  <c r="K250"/>
  <c r="N176"/>
  <c r="K213"/>
  <c r="L160"/>
  <c r="N123"/>
  <c r="M160"/>
  <c r="L234"/>
  <c r="C250"/>
  <c r="E176"/>
  <c r="C213"/>
  <c r="S243"/>
  <c r="W169"/>
  <c r="S206"/>
  <c r="S247"/>
  <c r="W173"/>
  <c r="S210"/>
  <c r="V122"/>
  <c r="U159"/>
  <c r="V159"/>
  <c r="T233"/>
  <c r="AA240"/>
  <c r="AF166"/>
  <c r="AA203"/>
  <c r="AD155"/>
  <c r="AD118"/>
  <c r="AE155"/>
  <c r="AB229"/>
  <c r="AD229"/>
  <c r="K237"/>
  <c r="N163"/>
  <c r="S242"/>
  <c r="S205"/>
  <c r="W168"/>
  <c r="AO174"/>
  <c r="V161"/>
  <c r="T235"/>
  <c r="U161"/>
  <c r="V124"/>
  <c r="V160"/>
  <c r="T234"/>
  <c r="V123"/>
  <c r="U160"/>
  <c r="AI210"/>
  <c r="AO173"/>
  <c r="P155"/>
  <c r="S232"/>
  <c r="K248"/>
  <c r="N174"/>
  <c r="K211"/>
  <c r="L154"/>
  <c r="M154"/>
  <c r="L228"/>
  <c r="N228"/>
  <c r="N117"/>
  <c r="P154"/>
  <c r="M159"/>
  <c r="L233"/>
  <c r="L159"/>
  <c r="N122"/>
  <c r="S249"/>
  <c r="W175"/>
  <c r="S212"/>
  <c r="U155"/>
  <c r="V155"/>
  <c r="T229"/>
  <c r="V229"/>
  <c r="V118"/>
  <c r="AE156"/>
  <c r="AB230"/>
  <c r="AD119"/>
  <c r="AD156"/>
  <c r="S244"/>
  <c r="S207"/>
  <c r="W170"/>
  <c r="M158"/>
  <c r="L232"/>
  <c r="L158"/>
  <c r="N121"/>
  <c r="AN155"/>
  <c r="AJ229"/>
  <c r="U417" i="1"/>
  <c r="E144" i="2"/>
  <c r="L417" i="1"/>
  <c r="AA244" i="2"/>
  <c r="AF170"/>
  <c r="AA207"/>
  <c r="K212"/>
  <c r="L249"/>
  <c r="K253"/>
  <c r="K216"/>
  <c r="N179"/>
  <c r="AH395" i="1"/>
  <c r="K242" i="2"/>
  <c r="K205"/>
  <c r="N168"/>
  <c r="F124"/>
  <c r="C161"/>
  <c r="D161"/>
  <c r="D235"/>
  <c r="C201"/>
  <c r="E164"/>
  <c r="C238"/>
  <c r="K245"/>
  <c r="N171"/>
  <c r="K208"/>
  <c r="C237"/>
  <c r="C200"/>
  <c r="K252"/>
  <c r="K215"/>
  <c r="N178"/>
  <c r="AA248"/>
  <c r="AF174"/>
  <c r="C154"/>
  <c r="F117"/>
  <c r="D154"/>
  <c r="G154"/>
  <c r="C246"/>
  <c r="E172"/>
  <c r="C209"/>
  <c r="AD159"/>
  <c r="AD122"/>
  <c r="AE159"/>
  <c r="AB233"/>
  <c r="AD116"/>
  <c r="AD153"/>
  <c r="AE153"/>
  <c r="AB227"/>
  <c r="AD227"/>
  <c r="AH153"/>
  <c r="AD120"/>
  <c r="AD157"/>
  <c r="AE157"/>
  <c r="AB231"/>
  <c r="D159"/>
  <c r="D233"/>
  <c r="C159"/>
  <c r="F122"/>
  <c r="U154"/>
  <c r="V154"/>
  <c r="T228"/>
  <c r="V228"/>
  <c r="V117"/>
  <c r="Y154"/>
  <c r="AA250"/>
  <c r="AA213"/>
  <c r="AF176"/>
  <c r="AH392" i="1"/>
  <c r="AF395"/>
  <c r="C239" i="2"/>
  <c r="C202"/>
  <c r="E165"/>
  <c r="S237"/>
  <c r="S200"/>
  <c r="W163"/>
  <c r="C179"/>
  <c r="D179"/>
  <c r="D253"/>
  <c r="F142"/>
  <c r="AI209"/>
  <c r="AO172"/>
  <c r="AF397" i="1"/>
  <c r="AF396"/>
  <c r="S248" i="2"/>
  <c r="S211"/>
  <c r="W174"/>
  <c r="AD179"/>
  <c r="AD142"/>
  <c r="AE179"/>
  <c r="AB253"/>
  <c r="C247"/>
  <c r="C210"/>
  <c r="S246"/>
  <c r="S209"/>
  <c r="W172"/>
  <c r="AA238"/>
  <c r="AF164"/>
  <c r="S202"/>
  <c r="W165"/>
  <c r="S239"/>
  <c r="Y417" i="1"/>
  <c r="AK144" i="2"/>
  <c r="P417" i="1"/>
  <c r="K241" i="2"/>
  <c r="N167"/>
  <c r="K204"/>
  <c r="S217"/>
  <c r="S254"/>
  <c r="W180"/>
  <c r="AQ154"/>
  <c r="S208"/>
  <c r="S245"/>
  <c r="W171"/>
  <c r="AF391" i="1"/>
  <c r="AA237" i="2"/>
  <c r="AF163"/>
  <c r="AA200"/>
  <c r="AA201"/>
  <c r="AB238"/>
  <c r="AA254"/>
  <c r="AF180"/>
  <c r="AA217"/>
  <c r="AA239"/>
  <c r="AF165"/>
  <c r="AA202"/>
  <c r="O417" i="1"/>
  <c r="X417"/>
  <c r="AC144" i="2"/>
  <c r="AO178"/>
  <c r="AI215"/>
  <c r="AO169"/>
  <c r="AM158"/>
  <c r="AI232"/>
  <c r="AL121"/>
  <c r="AN158"/>
  <c r="AJ232"/>
  <c r="K254"/>
  <c r="K217"/>
  <c r="N180"/>
  <c r="K249"/>
  <c r="N175"/>
  <c r="AE397" i="1"/>
  <c r="K238" i="2"/>
  <c r="N164"/>
  <c r="K201"/>
  <c r="K247"/>
  <c r="K210"/>
  <c r="N173"/>
  <c r="AH393" i="1"/>
  <c r="AI207" i="2"/>
  <c r="AO170"/>
  <c r="K244"/>
  <c r="N170"/>
  <c r="K207"/>
  <c r="D160"/>
  <c r="D234"/>
  <c r="C160"/>
  <c r="F123"/>
  <c r="U156"/>
  <c r="V156"/>
  <c r="T230"/>
  <c r="V119"/>
  <c r="C244"/>
  <c r="E170"/>
  <c r="C207"/>
  <c r="AL124"/>
  <c r="AM161"/>
  <c r="AI235"/>
  <c r="AN161"/>
  <c r="AJ235"/>
  <c r="AL142"/>
  <c r="AN179"/>
  <c r="AJ253"/>
  <c r="AM179"/>
  <c r="AI253"/>
  <c r="K243"/>
  <c r="N169"/>
  <c r="K206"/>
  <c r="AE396" i="1"/>
  <c r="AD390"/>
  <c r="S250" i="2"/>
  <c r="W176"/>
  <c r="S213"/>
  <c r="AG395" i="1"/>
  <c r="AG389"/>
  <c r="AA247" i="2"/>
  <c r="AF173"/>
  <c r="AA210"/>
  <c r="AA252"/>
  <c r="AF178"/>
  <c r="AA215"/>
  <c r="AG393" i="1"/>
  <c r="AF390"/>
  <c r="AA241" i="2"/>
  <c r="AA204"/>
  <c r="AF167"/>
  <c r="C242"/>
  <c r="E168"/>
  <c r="C205"/>
  <c r="S252"/>
  <c r="W178"/>
  <c r="S215"/>
  <c r="K200"/>
  <c r="L237"/>
  <c r="AO171"/>
  <c r="AI208"/>
  <c r="AD415" i="1"/>
  <c r="AA242" i="2"/>
  <c r="AF168"/>
  <c r="AA205"/>
  <c r="AO168"/>
  <c r="AI205"/>
  <c r="AO165"/>
  <c r="AI202"/>
  <c r="AH155"/>
  <c r="AA249"/>
  <c r="AA212"/>
  <c r="AF175"/>
  <c r="C156"/>
  <c r="F119"/>
  <c r="C155"/>
  <c r="D155"/>
  <c r="D229"/>
  <c r="F229"/>
  <c r="F118"/>
  <c r="U179"/>
  <c r="V179"/>
  <c r="V142"/>
  <c r="K240"/>
  <c r="K203"/>
  <c r="N166"/>
  <c r="AE395" i="1"/>
  <c r="AA245" i="2"/>
  <c r="AF171"/>
  <c r="AA208"/>
  <c r="E173"/>
  <c r="D247"/>
  <c r="S241"/>
  <c r="S204"/>
  <c r="W167"/>
  <c r="AE391" i="1"/>
  <c r="V417"/>
  <c r="M144" i="2"/>
  <c r="M417" i="1"/>
  <c r="V116" i="2"/>
  <c r="C153"/>
  <c r="F116"/>
  <c r="D153"/>
  <c r="D227"/>
  <c r="F227"/>
  <c r="G153"/>
  <c r="C240"/>
  <c r="C203"/>
  <c r="E166"/>
  <c r="AE160"/>
  <c r="AB234"/>
  <c r="AD160"/>
  <c r="AD123"/>
  <c r="V157"/>
  <c r="T231"/>
  <c r="V120"/>
  <c r="U157"/>
  <c r="AI204"/>
  <c r="AO167"/>
  <c r="AN159"/>
  <c r="AJ233"/>
  <c r="AM159"/>
  <c r="AI233"/>
  <c r="AL122"/>
  <c r="L161"/>
  <c r="K246"/>
  <c r="K209"/>
  <c r="N172"/>
  <c r="AD396" i="1"/>
  <c r="K239" i="2"/>
  <c r="K202"/>
  <c r="N165"/>
  <c r="AA211"/>
  <c r="AB248"/>
  <c r="AA246"/>
  <c r="AF172"/>
  <c r="AA209"/>
  <c r="S240"/>
  <c r="W166"/>
  <c r="S203"/>
  <c r="AA206"/>
  <c r="AF169"/>
  <c r="AA243"/>
  <c r="AL119"/>
  <c r="AN156"/>
  <c r="AJ230"/>
  <c r="AM156"/>
  <c r="AI230"/>
  <c r="S238"/>
  <c r="W164"/>
  <c r="S201"/>
  <c r="AN160"/>
  <c r="AJ234"/>
  <c r="AL123"/>
  <c r="AM160"/>
  <c r="AI234"/>
  <c r="L156"/>
  <c r="AO180"/>
  <c r="AI217"/>
  <c r="AD158"/>
  <c r="AE158"/>
  <c r="AB232"/>
  <c r="AD121"/>
  <c r="AI211"/>
  <c r="C245"/>
  <c r="E171"/>
  <c r="C208"/>
  <c r="AI212"/>
  <c r="C241"/>
  <c r="E167"/>
  <c r="C204"/>
  <c r="AI213"/>
  <c r="AO176"/>
  <c r="N268" i="1"/>
  <c r="T267"/>
  <c r="M68" i="2"/>
  <c r="S68"/>
  <c r="H258" i="1"/>
  <c r="H59" i="2"/>
  <c r="Y78"/>
  <c r="C252" i="1"/>
  <c r="I252"/>
  <c r="C52" i="2"/>
  <c r="I52"/>
  <c r="AA307"/>
  <c r="S306"/>
  <c r="X78"/>
  <c r="Z78"/>
  <c r="AA78"/>
  <c r="W78"/>
  <c r="M79"/>
  <c r="M80"/>
  <c r="AI307"/>
  <c r="Q80"/>
  <c r="AK80"/>
  <c r="K306"/>
  <c r="N79"/>
  <c r="AH79"/>
  <c r="C80"/>
  <c r="I80"/>
  <c r="C307"/>
  <c r="Q11"/>
  <c r="Q81"/>
  <c r="AK81"/>
  <c r="P206" i="1"/>
  <c r="F12" i="2"/>
  <c r="F82"/>
  <c r="F207" i="1"/>
  <c r="D11" i="2"/>
  <c r="D81"/>
  <c r="D206" i="1"/>
  <c r="E11" i="2"/>
  <c r="E81"/>
  <c r="E206" i="1"/>
  <c r="C11" i="2"/>
  <c r="C206" i="1"/>
  <c r="C74"/>
  <c r="L73"/>
  <c r="O11" i="2"/>
  <c r="N206" i="1"/>
  <c r="G12" i="2"/>
  <c r="G82"/>
  <c r="G207" i="1"/>
  <c r="P11" i="2"/>
  <c r="O206" i="1"/>
  <c r="N10" i="2"/>
  <c r="M205" i="1"/>
  <c r="O10" i="2"/>
  <c r="N205" i="1"/>
  <c r="E74"/>
  <c r="P44" i="4"/>
  <c r="Y43"/>
  <c r="F12" i="3"/>
  <c r="R44" i="4"/>
  <c r="AA43"/>
  <c r="M44"/>
  <c r="V43"/>
  <c r="C12" i="3"/>
  <c r="N44" i="4"/>
  <c r="W43"/>
  <c r="D12" i="3"/>
  <c r="Q44" i="4"/>
  <c r="Z43"/>
  <c r="G12" i="3"/>
  <c r="O44" i="4"/>
  <c r="X43"/>
  <c r="E12" i="3"/>
  <c r="Q9"/>
  <c r="AI9"/>
  <c r="U305" i="2"/>
  <c r="AC305"/>
  <c r="D641" i="1"/>
  <c r="AT230" i="2"/>
  <c r="AQ156"/>
  <c r="AP157"/>
  <c r="F157"/>
  <c r="AK305"/>
  <c r="M305"/>
  <c r="Y156"/>
  <c r="X157"/>
  <c r="AH156"/>
  <c r="AG157"/>
  <c r="P156"/>
  <c r="O157"/>
  <c r="R267"/>
  <c r="AB267"/>
  <c r="AL267"/>
  <c r="AV267"/>
  <c r="BF267"/>
  <c r="F309"/>
  <c r="N309"/>
  <c r="V309"/>
  <c r="AD309"/>
  <c r="AL309"/>
  <c r="AT309"/>
  <c r="E305"/>
  <c r="C641" i="1"/>
  <c r="AS230" i="2"/>
  <c r="R189"/>
  <c r="J226"/>
  <c r="J227"/>
  <c r="R190"/>
  <c r="K178"/>
  <c r="T178"/>
  <c r="AC178"/>
  <c r="AL178"/>
  <c r="AU178"/>
  <c r="B215"/>
  <c r="J215"/>
  <c r="K176"/>
  <c r="T176"/>
  <c r="AC176"/>
  <c r="AL176"/>
  <c r="AU176"/>
  <c r="B213"/>
  <c r="J213"/>
  <c r="K174"/>
  <c r="T174"/>
  <c r="AC174"/>
  <c r="AL174"/>
  <c r="AU174"/>
  <c r="B211"/>
  <c r="J211"/>
  <c r="K172"/>
  <c r="T172"/>
  <c r="AC172"/>
  <c r="AL172"/>
  <c r="AU172"/>
  <c r="B209"/>
  <c r="J209"/>
  <c r="K170"/>
  <c r="T170"/>
  <c r="AC170"/>
  <c r="AL170"/>
  <c r="AU170"/>
  <c r="B207"/>
  <c r="J207"/>
  <c r="K177"/>
  <c r="T177"/>
  <c r="AC177"/>
  <c r="AL177"/>
  <c r="AU177"/>
  <c r="B214"/>
  <c r="J214"/>
  <c r="K175"/>
  <c r="T175"/>
  <c r="AC175"/>
  <c r="AL175"/>
  <c r="AU175"/>
  <c r="B212"/>
  <c r="J212"/>
  <c r="K173"/>
  <c r="T173"/>
  <c r="AC173"/>
  <c r="AL173"/>
  <c r="AU173"/>
  <c r="B210"/>
  <c r="J210"/>
  <c r="K171"/>
  <c r="T171"/>
  <c r="AC171"/>
  <c r="AL171"/>
  <c r="AU171"/>
  <c r="B208"/>
  <c r="J208"/>
  <c r="K169"/>
  <c r="T169"/>
  <c r="AC169"/>
  <c r="AL169"/>
  <c r="AU169"/>
  <c r="B206"/>
  <c r="J206"/>
  <c r="K167"/>
  <c r="T167"/>
  <c r="AC167"/>
  <c r="AL167"/>
  <c r="AU167"/>
  <c r="B204"/>
  <c r="J204"/>
  <c r="K168"/>
  <c r="T168"/>
  <c r="AC168"/>
  <c r="AL168"/>
  <c r="AU168"/>
  <c r="B205"/>
  <c r="J205"/>
  <c r="B203"/>
  <c r="J203"/>
  <c r="K166"/>
  <c r="T166"/>
  <c r="AC166"/>
  <c r="AL166"/>
  <c r="AU166"/>
  <c r="B201"/>
  <c r="J201"/>
  <c r="K164"/>
  <c r="T164"/>
  <c r="AC164"/>
  <c r="AL164"/>
  <c r="AU164"/>
  <c r="B199"/>
  <c r="J199"/>
  <c r="K162"/>
  <c r="T162"/>
  <c r="AC162"/>
  <c r="AL162"/>
  <c r="AU162"/>
  <c r="B197"/>
  <c r="J197"/>
  <c r="K160"/>
  <c r="T160"/>
  <c r="AC160"/>
  <c r="AL160"/>
  <c r="AU160"/>
  <c r="B195"/>
  <c r="J195"/>
  <c r="K158"/>
  <c r="T158"/>
  <c r="AC158"/>
  <c r="AL158"/>
  <c r="AU158"/>
  <c r="B193"/>
  <c r="J193"/>
  <c r="K156"/>
  <c r="T156"/>
  <c r="AC156"/>
  <c r="AL156"/>
  <c r="AU156"/>
  <c r="B191"/>
  <c r="J191"/>
  <c r="K154"/>
  <c r="T154"/>
  <c r="AC154"/>
  <c r="AL154"/>
  <c r="AU154"/>
  <c r="B202"/>
  <c r="J202"/>
  <c r="K165"/>
  <c r="T165"/>
  <c r="AC165"/>
  <c r="AL165"/>
  <c r="AU165"/>
  <c r="B200"/>
  <c r="J200"/>
  <c r="K163"/>
  <c r="T163"/>
  <c r="AC163"/>
  <c r="AL163"/>
  <c r="AU163"/>
  <c r="B198"/>
  <c r="J198"/>
  <c r="K161"/>
  <c r="T161"/>
  <c r="AC161"/>
  <c r="AL161"/>
  <c r="AU161"/>
  <c r="B196"/>
  <c r="J196"/>
  <c r="K159"/>
  <c r="T159"/>
  <c r="AC159"/>
  <c r="AL159"/>
  <c r="AU159"/>
  <c r="B194"/>
  <c r="J194"/>
  <c r="K157"/>
  <c r="T157"/>
  <c r="AC157"/>
  <c r="AL157"/>
  <c r="AU157"/>
  <c r="B192"/>
  <c r="J192"/>
  <c r="K155"/>
  <c r="T155"/>
  <c r="AC155"/>
  <c r="AL155"/>
  <c r="AU155"/>
  <c r="B263"/>
  <c r="L263"/>
  <c r="V263"/>
  <c r="AF263"/>
  <c r="AP263"/>
  <c r="AZ263"/>
  <c r="B226"/>
  <c r="B264"/>
  <c r="L264"/>
  <c r="V264"/>
  <c r="AF264"/>
  <c r="AP264"/>
  <c r="AZ264"/>
  <c r="B227"/>
  <c r="B179"/>
  <c r="J142"/>
  <c r="R142"/>
  <c r="Z142"/>
  <c r="AH142"/>
  <c r="AP142"/>
  <c r="B181"/>
  <c r="J144"/>
  <c r="R144"/>
  <c r="Z144"/>
  <c r="AH144"/>
  <c r="AP144"/>
  <c r="K452" i="1"/>
  <c r="T452"/>
  <c r="B487"/>
  <c r="K487"/>
  <c r="O74"/>
  <c r="F75"/>
  <c r="M73"/>
  <c r="D74"/>
  <c r="P74"/>
  <c r="G75"/>
  <c r="S20"/>
  <c r="K19"/>
  <c r="O19"/>
  <c r="T20"/>
  <c r="L16"/>
  <c r="N15"/>
  <c r="E16"/>
  <c r="F15"/>
  <c r="H268" i="2"/>
  <c r="R20" i="1"/>
  <c r="H19"/>
  <c r="W291" i="2"/>
  <c r="AY143"/>
  <c r="AQ276"/>
  <c r="BA128"/>
  <c r="AG277"/>
  <c r="AZ129"/>
  <c r="AG283"/>
  <c r="AZ135"/>
  <c r="AQ282"/>
  <c r="BA134"/>
  <c r="C283"/>
  <c r="AW135"/>
  <c r="AQ289"/>
  <c r="BA141"/>
  <c r="M278"/>
  <c r="AX130"/>
  <c r="AE390" i="1"/>
  <c r="L117" i="2"/>
  <c r="O117"/>
  <c r="AM154"/>
  <c r="AI228"/>
  <c r="AQ281"/>
  <c r="BA133"/>
  <c r="M282"/>
  <c r="AX134"/>
  <c r="W283"/>
  <c r="AY135"/>
  <c r="X292" i="1"/>
  <c r="AG292"/>
  <c r="C280" i="2"/>
  <c r="AW132"/>
  <c r="AQ287"/>
  <c r="BA139"/>
  <c r="W275"/>
  <c r="AY127"/>
  <c r="AG280"/>
  <c r="AZ132"/>
  <c r="AQ283"/>
  <c r="BA135"/>
  <c r="C285"/>
  <c r="AW137"/>
  <c r="AQ284"/>
  <c r="BA136"/>
  <c r="M280"/>
  <c r="AX132"/>
  <c r="P299" i="1"/>
  <c r="AG281" i="2"/>
  <c r="AZ133"/>
  <c r="AQ278"/>
  <c r="BA130"/>
  <c r="W281"/>
  <c r="AY133"/>
  <c r="AQ277"/>
  <c r="BA129"/>
  <c r="BB268"/>
  <c r="BH157"/>
  <c r="AG286"/>
  <c r="AZ138"/>
  <c r="W289"/>
  <c r="AY141"/>
  <c r="AG285"/>
  <c r="AZ137"/>
  <c r="AG278"/>
  <c r="AZ130"/>
  <c r="AQ285"/>
  <c r="BA137"/>
  <c r="M287"/>
  <c r="AX139"/>
  <c r="AG284"/>
  <c r="AZ136"/>
  <c r="M285"/>
  <c r="AX137"/>
  <c r="C289"/>
  <c r="AW141"/>
  <c r="W278"/>
  <c r="AY130"/>
  <c r="C291"/>
  <c r="AW143"/>
  <c r="AL117"/>
  <c r="M283"/>
  <c r="AX135"/>
  <c r="C277"/>
  <c r="AW129"/>
  <c r="M289"/>
  <c r="AX141"/>
  <c r="C287"/>
  <c r="AW139"/>
  <c r="M281"/>
  <c r="AX133"/>
  <c r="C279"/>
  <c r="AW131"/>
  <c r="AQ286"/>
  <c r="BA138"/>
  <c r="C274"/>
  <c r="AW126"/>
  <c r="W284"/>
  <c r="AY136"/>
  <c r="W280"/>
  <c r="AY132"/>
  <c r="W279"/>
  <c r="AY131"/>
  <c r="M274"/>
  <c r="AX126"/>
  <c r="W287"/>
  <c r="AY139"/>
  <c r="M276"/>
  <c r="AX128"/>
  <c r="C275"/>
  <c r="AW127"/>
  <c r="AQ275"/>
  <c r="BA127"/>
  <c r="AG275"/>
  <c r="AZ127"/>
  <c r="AG274"/>
  <c r="AZ126"/>
  <c r="AG276"/>
  <c r="AZ128"/>
  <c r="M286"/>
  <c r="AX138"/>
  <c r="BA291"/>
  <c r="BB143"/>
  <c r="W285"/>
  <c r="AY137"/>
  <c r="M284"/>
  <c r="AX136"/>
  <c r="BD266"/>
  <c r="BE266"/>
  <c r="AR308"/>
  <c r="BB229"/>
  <c r="S258" i="1"/>
  <c r="R58" i="2"/>
  <c r="S58"/>
  <c r="T257" i="1"/>
  <c r="M277" i="2"/>
  <c r="AX129"/>
  <c r="AQ291"/>
  <c r="BA143"/>
  <c r="AQ280"/>
  <c r="BA132"/>
  <c r="W277"/>
  <c r="AY129"/>
  <c r="AG279"/>
  <c r="AZ131"/>
  <c r="AG287"/>
  <c r="AZ139"/>
  <c r="AG289"/>
  <c r="AZ141"/>
  <c r="M279"/>
  <c r="AX131"/>
  <c r="C278"/>
  <c r="AW130"/>
  <c r="AQ279"/>
  <c r="BA131"/>
  <c r="C281"/>
  <c r="AW133"/>
  <c r="W282"/>
  <c r="AY134"/>
  <c r="W274"/>
  <c r="AY126"/>
  <c r="C276"/>
  <c r="AW128"/>
  <c r="C282"/>
  <c r="AW134"/>
  <c r="AQ274"/>
  <c r="BA126"/>
  <c r="C284"/>
  <c r="AW136"/>
  <c r="AG282"/>
  <c r="AZ134"/>
  <c r="M291"/>
  <c r="AX143"/>
  <c r="C286"/>
  <c r="AW138"/>
  <c r="M275"/>
  <c r="AX127"/>
  <c r="W286"/>
  <c r="AY138"/>
  <c r="AD395" i="1"/>
  <c r="C288"/>
  <c r="W276" i="2"/>
  <c r="AY128"/>
  <c r="AU230"/>
  <c r="R12"/>
  <c r="AQ309"/>
  <c r="Q207" i="1"/>
  <c r="AS308" i="2"/>
  <c r="AU308"/>
  <c r="BG266"/>
  <c r="AG79"/>
  <c r="S79"/>
  <c r="AB79"/>
  <c r="AL81"/>
  <c r="AQ254"/>
  <c r="AQ217"/>
  <c r="AT215"/>
  <c r="AS215"/>
  <c r="AR215"/>
  <c r="AT216"/>
  <c r="AS216"/>
  <c r="AR216"/>
  <c r="W121"/>
  <c r="D156"/>
  <c r="D230"/>
  <c r="F230"/>
  <c r="N119"/>
  <c r="O119"/>
  <c r="N124"/>
  <c r="AH391" i="1"/>
  <c r="G284"/>
  <c r="AD394"/>
  <c r="AF392"/>
  <c r="AM155" i="2"/>
  <c r="W28" i="3"/>
  <c r="AD391" i="1"/>
  <c r="Y26" i="3"/>
  <c r="AL118" i="2"/>
  <c r="D122"/>
  <c r="G122"/>
  <c r="AH394" i="1"/>
  <c r="G287"/>
  <c r="E287"/>
  <c r="N287"/>
  <c r="Y34" i="3"/>
  <c r="AG397" i="1"/>
  <c r="AB124" i="2"/>
  <c r="AE124"/>
  <c r="AN154"/>
  <c r="W36" i="3"/>
  <c r="AJ117" i="2"/>
  <c r="AM117"/>
  <c r="G283" i="1"/>
  <c r="P283"/>
  <c r="Y20" i="3"/>
  <c r="S195" i="2"/>
  <c r="T195"/>
  <c r="Y293" i="1"/>
  <c r="AH293"/>
  <c r="F289"/>
  <c r="O289"/>
  <c r="AD393"/>
  <c r="D120" i="2"/>
  <c r="AH389" i="1"/>
  <c r="AJ116" i="2"/>
  <c r="F120"/>
  <c r="AL116"/>
  <c r="N120"/>
  <c r="C309" i="1"/>
  <c r="U309"/>
  <c r="AQ153" i="2"/>
  <c r="AE393" i="1"/>
  <c r="D286"/>
  <c r="D157" i="2"/>
  <c r="D231"/>
  <c r="AN153"/>
  <c r="M157"/>
  <c r="L231"/>
  <c r="U29" i="3"/>
  <c r="E180" i="2"/>
  <c r="C285" i="1"/>
  <c r="U12" i="3"/>
  <c r="X27"/>
  <c r="AE161" i="2"/>
  <c r="AB235"/>
  <c r="C217"/>
  <c r="D217"/>
  <c r="U302" i="1"/>
  <c r="AD302"/>
  <c r="S10" i="2"/>
  <c r="AD161"/>
  <c r="AA235"/>
  <c r="V36" i="3"/>
  <c r="AF294" i="1"/>
  <c r="W158" i="2"/>
  <c r="V309" i="1"/>
  <c r="AE309"/>
  <c r="U307"/>
  <c r="U31" i="3"/>
  <c r="Q75" i="1"/>
  <c r="H13" i="2"/>
  <c r="H83"/>
  <c r="H76" i="1"/>
  <c r="H209"/>
  <c r="I11" i="2"/>
  <c r="AH299" i="1"/>
  <c r="AG392"/>
  <c r="F285"/>
  <c r="W287"/>
  <c r="AF287"/>
  <c r="AH307"/>
  <c r="F287"/>
  <c r="X14" i="3"/>
  <c r="AH154" i="2"/>
  <c r="AG390" i="1"/>
  <c r="AB117" i="2"/>
  <c r="AE117"/>
  <c r="AE154"/>
  <c r="AB228"/>
  <c r="AD228"/>
  <c r="U304" i="1"/>
  <c r="L307"/>
  <c r="AJ121" i="2"/>
  <c r="AM121"/>
  <c r="AD154"/>
  <c r="R70"/>
  <c r="Y153"/>
  <c r="D124"/>
  <c r="G124"/>
  <c r="V153"/>
  <c r="T227"/>
  <c r="V227"/>
  <c r="AD304" i="1"/>
  <c r="X300"/>
  <c r="AG300"/>
  <c r="W309"/>
  <c r="AF309"/>
  <c r="AX180" i="2"/>
  <c r="AZ158"/>
  <c r="BA158"/>
  <c r="AY159"/>
  <c r="AF393" i="1"/>
  <c r="E286"/>
  <c r="N286"/>
  <c r="AO158" i="2"/>
  <c r="E308" i="1"/>
  <c r="W308"/>
  <c r="AF389"/>
  <c r="W142" i="2"/>
  <c r="AG391" i="1"/>
  <c r="AB118" i="2"/>
  <c r="AE118"/>
  <c r="AJ142"/>
  <c r="AM142"/>
  <c r="AV181"/>
  <c r="AT144"/>
  <c r="AW181"/>
  <c r="AR255"/>
  <c r="Z417" i="1"/>
  <c r="AS144" i="2"/>
  <c r="L142"/>
  <c r="O142"/>
  <c r="D308" i="1"/>
  <c r="AE293"/>
  <c r="D285"/>
  <c r="V12" i="3"/>
  <c r="X19"/>
  <c r="AH295" i="1"/>
  <c r="AE296"/>
  <c r="AF299"/>
  <c r="G119" i="2"/>
  <c r="AG293" i="1"/>
  <c r="AG294"/>
  <c r="AE302"/>
  <c r="AF301"/>
  <c r="AE303"/>
  <c r="AF303"/>
  <c r="AB143" i="2"/>
  <c r="AE143"/>
  <c r="F309" i="1"/>
  <c r="AF296"/>
  <c r="AM123" i="2"/>
  <c r="O121"/>
  <c r="AF304" i="1"/>
  <c r="AH296"/>
  <c r="AE304"/>
  <c r="AE121" i="2"/>
  <c r="AM124"/>
  <c r="T119"/>
  <c r="W119"/>
  <c r="E285" i="1"/>
  <c r="L118" i="2"/>
  <c r="O118"/>
  <c r="D284" i="1"/>
  <c r="T117" i="2"/>
  <c r="W117"/>
  <c r="E283" i="1"/>
  <c r="D117" i="2"/>
  <c r="G117"/>
  <c r="C283" i="1"/>
  <c r="T124" i="2"/>
  <c r="W124"/>
  <c r="E290" i="1"/>
  <c r="T122" i="2"/>
  <c r="W122"/>
  <c r="E288" i="1"/>
  <c r="D121" i="2"/>
  <c r="G121"/>
  <c r="C287" i="1"/>
  <c r="M301"/>
  <c r="V301"/>
  <c r="V28" i="3"/>
  <c r="L295" i="1"/>
  <c r="U295"/>
  <c r="U22" i="3"/>
  <c r="M307" i="1"/>
  <c r="V307"/>
  <c r="V34" i="3"/>
  <c r="O303" i="1"/>
  <c r="X303"/>
  <c r="X30" i="3"/>
  <c r="L297" i="1"/>
  <c r="U297"/>
  <c r="U24" i="3"/>
  <c r="P304" i="1"/>
  <c r="Y304"/>
  <c r="Y31" i="3"/>
  <c r="L292" i="1"/>
  <c r="U292"/>
  <c r="U19" i="3"/>
  <c r="M297" i="1"/>
  <c r="V297"/>
  <c r="V24" i="3"/>
  <c r="P305" i="1"/>
  <c r="Y305"/>
  <c r="Y32" i="3"/>
  <c r="N293" i="1"/>
  <c r="W293"/>
  <c r="W20" i="3"/>
  <c r="O298" i="1"/>
  <c r="X298"/>
  <c r="X25" i="3"/>
  <c r="P301" i="1"/>
  <c r="Y301"/>
  <c r="Y28" i="3"/>
  <c r="L303" i="1"/>
  <c r="U303"/>
  <c r="U30" i="3"/>
  <c r="N297" i="1"/>
  <c r="W297"/>
  <c r="W24" i="3"/>
  <c r="M298" i="1"/>
  <c r="V298"/>
  <c r="V25" i="3"/>
  <c r="L288" i="1"/>
  <c r="U288"/>
  <c r="U15" i="3"/>
  <c r="L290" i="1"/>
  <c r="U290"/>
  <c r="U17" i="3"/>
  <c r="P289" i="1"/>
  <c r="Y289"/>
  <c r="Y16" i="3"/>
  <c r="M294" i="1"/>
  <c r="V294"/>
  <c r="V21" i="3"/>
  <c r="L293" i="1"/>
  <c r="U293"/>
  <c r="U20" i="3"/>
  <c r="U285" i="1"/>
  <c r="D123" i="2"/>
  <c r="G123"/>
  <c r="C289" i="1"/>
  <c r="AB120" i="2"/>
  <c r="AE120"/>
  <c r="F286" i="1"/>
  <c r="AB116" i="2"/>
  <c r="AE116"/>
  <c r="F282" i="1"/>
  <c r="L123" i="2"/>
  <c r="O123"/>
  <c r="D289" i="1"/>
  <c r="AJ119" i="2"/>
  <c r="AM119"/>
  <c r="G285" i="1"/>
  <c r="O305"/>
  <c r="X305"/>
  <c r="X32" i="3"/>
  <c r="O307" i="1"/>
  <c r="X307"/>
  <c r="X34" i="3"/>
  <c r="P298" i="1"/>
  <c r="Y298"/>
  <c r="Y25" i="3"/>
  <c r="N302" i="1"/>
  <c r="W302"/>
  <c r="W29" i="3"/>
  <c r="P287" i="1"/>
  <c r="Y287"/>
  <c r="Y14" i="3"/>
  <c r="O301" i="1"/>
  <c r="X301"/>
  <c r="X28" i="3"/>
  <c r="N292" i="1"/>
  <c r="W292"/>
  <c r="W19" i="3"/>
  <c r="L294" i="1"/>
  <c r="U294"/>
  <c r="U21" i="3"/>
  <c r="D116" i="2"/>
  <c r="G116"/>
  <c r="C282" i="1"/>
  <c r="D118" i="2"/>
  <c r="G118"/>
  <c r="C284" i="1"/>
  <c r="N305"/>
  <c r="W305"/>
  <c r="W32" i="3"/>
  <c r="AJ118" i="2"/>
  <c r="L122"/>
  <c r="O122"/>
  <c r="D288" i="1"/>
  <c r="T118" i="2"/>
  <c r="W118"/>
  <c r="E284" i="1"/>
  <c r="O304"/>
  <c r="X304"/>
  <c r="X31" i="3"/>
  <c r="M295" i="1"/>
  <c r="V295"/>
  <c r="V22" i="3"/>
  <c r="N307" i="1"/>
  <c r="W307"/>
  <c r="W34" i="3"/>
  <c r="P294" i="1"/>
  <c r="Y294"/>
  <c r="Y21" i="3"/>
  <c r="L305" i="1"/>
  <c r="U305"/>
  <c r="U32" i="3"/>
  <c r="M299" i="1"/>
  <c r="V299"/>
  <c r="V26" i="3"/>
  <c r="O295" i="1"/>
  <c r="X295"/>
  <c r="X22" i="3"/>
  <c r="O296" i="1"/>
  <c r="X296"/>
  <c r="X23" i="3"/>
  <c r="L298" i="1"/>
  <c r="U298"/>
  <c r="U25" i="3"/>
  <c r="L296" i="1"/>
  <c r="U296"/>
  <c r="U23" i="3"/>
  <c r="P297" i="1"/>
  <c r="Y297"/>
  <c r="Y24" i="3"/>
  <c r="L299" i="1"/>
  <c r="U299"/>
  <c r="U26" i="3"/>
  <c r="N300" i="1"/>
  <c r="W300"/>
  <c r="W27" i="3"/>
  <c r="P290" i="1"/>
  <c r="Y290"/>
  <c r="Y17" i="3"/>
  <c r="L300" i="1"/>
  <c r="U300"/>
  <c r="U27" i="3"/>
  <c r="P308" i="1"/>
  <c r="Y308"/>
  <c r="Y35" i="3"/>
  <c r="O299" i="1"/>
  <c r="X299"/>
  <c r="X26" i="3"/>
  <c r="O297" i="1"/>
  <c r="X297"/>
  <c r="X24" i="3"/>
  <c r="O302" i="1"/>
  <c r="X302"/>
  <c r="X29" i="3"/>
  <c r="L301" i="1"/>
  <c r="U301"/>
  <c r="U28" i="3"/>
  <c r="M287" i="1"/>
  <c r="V287"/>
  <c r="V14" i="3"/>
  <c r="AE123" i="2"/>
  <c r="C286" i="1"/>
  <c r="D142" i="2"/>
  <c r="G142"/>
  <c r="C308" i="1"/>
  <c r="AB122" i="2"/>
  <c r="AE122"/>
  <c r="F288" i="1"/>
  <c r="AJ120" i="2"/>
  <c r="AM120"/>
  <c r="G286" i="1"/>
  <c r="L124" i="2"/>
  <c r="D290" i="1"/>
  <c r="AG417"/>
  <c r="T123" i="2"/>
  <c r="W123"/>
  <c r="E289" i="1"/>
  <c r="AJ122" i="2"/>
  <c r="AM122"/>
  <c r="G288" i="1"/>
  <c r="M300"/>
  <c r="V300"/>
  <c r="V27" i="3"/>
  <c r="P309" i="1"/>
  <c r="Y309"/>
  <c r="Y36" i="3"/>
  <c r="AH292" i="1"/>
  <c r="P303"/>
  <c r="Y303"/>
  <c r="Y30" i="3"/>
  <c r="N295" i="1"/>
  <c r="W295"/>
  <c r="W22" i="3"/>
  <c r="N298" i="1"/>
  <c r="W298"/>
  <c r="W25" i="3"/>
  <c r="P302" i="1"/>
  <c r="Y302"/>
  <c r="Y29" i="3"/>
  <c r="AB142" i="2"/>
  <c r="AE142"/>
  <c r="F308" i="1"/>
  <c r="M292"/>
  <c r="V292"/>
  <c r="V19" i="3"/>
  <c r="P300" i="1"/>
  <c r="Y300"/>
  <c r="Y27" i="3"/>
  <c r="M305" i="1"/>
  <c r="V305"/>
  <c r="V32" i="3"/>
  <c r="D208" i="2"/>
  <c r="F208"/>
  <c r="E208"/>
  <c r="M181"/>
  <c r="L255"/>
  <c r="N144"/>
  <c r="L181"/>
  <c r="N206"/>
  <c r="M206"/>
  <c r="L206"/>
  <c r="AH417" i="1"/>
  <c r="E210" i="2"/>
  <c r="D210"/>
  <c r="F210"/>
  <c r="AA227"/>
  <c r="AC227"/>
  <c r="AE227"/>
  <c r="AF153"/>
  <c r="AI153"/>
  <c r="AA190"/>
  <c r="E161"/>
  <c r="C198"/>
  <c r="C235"/>
  <c r="N205"/>
  <c r="L205"/>
  <c r="M205"/>
  <c r="L212"/>
  <c r="M212"/>
  <c r="N212"/>
  <c r="U207"/>
  <c r="T207"/>
  <c r="V207"/>
  <c r="V212"/>
  <c r="T212"/>
  <c r="U212"/>
  <c r="K233"/>
  <c r="K196"/>
  <c r="N159"/>
  <c r="AB203"/>
  <c r="AC203"/>
  <c r="AD203"/>
  <c r="AL203"/>
  <c r="AK203"/>
  <c r="AJ203"/>
  <c r="AL213"/>
  <c r="AJ213"/>
  <c r="AK213"/>
  <c r="AL211"/>
  <c r="AJ211"/>
  <c r="AK211"/>
  <c r="AL217"/>
  <c r="AJ217"/>
  <c r="AK217"/>
  <c r="AI197"/>
  <c r="AO160"/>
  <c r="V203"/>
  <c r="T203"/>
  <c r="U203"/>
  <c r="AD209"/>
  <c r="AC209"/>
  <c r="AB209"/>
  <c r="AC211"/>
  <c r="AB211"/>
  <c r="AD211"/>
  <c r="N209"/>
  <c r="M209"/>
  <c r="L209"/>
  <c r="D203"/>
  <c r="F203"/>
  <c r="E203"/>
  <c r="AE417" i="1"/>
  <c r="C230" i="2"/>
  <c r="E230"/>
  <c r="M200"/>
  <c r="N200"/>
  <c r="L200"/>
  <c r="D205"/>
  <c r="F205"/>
  <c r="E205"/>
  <c r="AD204"/>
  <c r="AB204"/>
  <c r="AC204"/>
  <c r="V213"/>
  <c r="T213"/>
  <c r="U213"/>
  <c r="S230"/>
  <c r="U230"/>
  <c r="S193"/>
  <c r="W156"/>
  <c r="Z156"/>
  <c r="N207"/>
  <c r="L207"/>
  <c r="M207"/>
  <c r="N217"/>
  <c r="M217"/>
  <c r="L217"/>
  <c r="AI195"/>
  <c r="C231"/>
  <c r="AD217"/>
  <c r="AB217"/>
  <c r="AC217"/>
  <c r="AD201"/>
  <c r="AC201"/>
  <c r="AB201"/>
  <c r="AM181"/>
  <c r="AI255"/>
  <c r="AL144"/>
  <c r="AN181"/>
  <c r="AJ255"/>
  <c r="U202"/>
  <c r="T202"/>
  <c r="V202"/>
  <c r="V209"/>
  <c r="T209"/>
  <c r="U209"/>
  <c r="U211"/>
  <c r="V211"/>
  <c r="T211"/>
  <c r="AL209"/>
  <c r="AJ209"/>
  <c r="AK209"/>
  <c r="C253"/>
  <c r="E179"/>
  <c r="C216"/>
  <c r="AC213"/>
  <c r="AB213"/>
  <c r="AD213"/>
  <c r="AA230"/>
  <c r="AC230"/>
  <c r="AA193"/>
  <c r="AF156"/>
  <c r="AI156"/>
  <c r="L211"/>
  <c r="M211"/>
  <c r="N211"/>
  <c r="U210"/>
  <c r="T210"/>
  <c r="V210"/>
  <c r="L213"/>
  <c r="M213"/>
  <c r="N213"/>
  <c r="E215"/>
  <c r="F215"/>
  <c r="D215"/>
  <c r="E206"/>
  <c r="D206"/>
  <c r="F206"/>
  <c r="K229"/>
  <c r="M229"/>
  <c r="K192"/>
  <c r="S231"/>
  <c r="W157"/>
  <c r="S194"/>
  <c r="AA234"/>
  <c r="AF160"/>
  <c r="AA197"/>
  <c r="C227"/>
  <c r="E227"/>
  <c r="G227"/>
  <c r="C190"/>
  <c r="E153"/>
  <c r="H153"/>
  <c r="S227"/>
  <c r="U227"/>
  <c r="V204"/>
  <c r="U204"/>
  <c r="T204"/>
  <c r="AB208"/>
  <c r="AC208"/>
  <c r="AD208"/>
  <c r="U215"/>
  <c r="V215"/>
  <c r="T215"/>
  <c r="AI216"/>
  <c r="AO179"/>
  <c r="AO161"/>
  <c r="AI198"/>
  <c r="AL207"/>
  <c r="AK207"/>
  <c r="AJ207"/>
  <c r="M201"/>
  <c r="N201"/>
  <c r="L201"/>
  <c r="AE181"/>
  <c r="AB255"/>
  <c r="AD144"/>
  <c r="AD181"/>
  <c r="AC202"/>
  <c r="AD202"/>
  <c r="AB202"/>
  <c r="AD200"/>
  <c r="AC200"/>
  <c r="AB200"/>
  <c r="S228"/>
  <c r="U228"/>
  <c r="W228"/>
  <c r="W154"/>
  <c r="Z154"/>
  <c r="S191"/>
  <c r="C228"/>
  <c r="E228"/>
  <c r="E154"/>
  <c r="H154"/>
  <c r="N215"/>
  <c r="L215"/>
  <c r="M215"/>
  <c r="N208"/>
  <c r="M208"/>
  <c r="L208"/>
  <c r="AD207"/>
  <c r="AB207"/>
  <c r="AC207"/>
  <c r="F144"/>
  <c r="D181"/>
  <c r="D255"/>
  <c r="C181"/>
  <c r="S229"/>
  <c r="U229"/>
  <c r="W229"/>
  <c r="W155"/>
  <c r="Z155"/>
  <c r="S192"/>
  <c r="S234"/>
  <c r="W160"/>
  <c r="S197"/>
  <c r="S235"/>
  <c r="W161"/>
  <c r="S198"/>
  <c r="AA229"/>
  <c r="AC229"/>
  <c r="AE229"/>
  <c r="AF155"/>
  <c r="AI155"/>
  <c r="AA192"/>
  <c r="K231"/>
  <c r="AO156"/>
  <c r="AR156"/>
  <c r="AI193"/>
  <c r="AK230"/>
  <c r="AL230"/>
  <c r="AJ204"/>
  <c r="AK204"/>
  <c r="AL204"/>
  <c r="S216"/>
  <c r="T253"/>
  <c r="C229"/>
  <c r="E229"/>
  <c r="G229"/>
  <c r="C192"/>
  <c r="E155"/>
  <c r="H155"/>
  <c r="AB215"/>
  <c r="AC215"/>
  <c r="AD215"/>
  <c r="AD210"/>
  <c r="AC210"/>
  <c r="AB210"/>
  <c r="C197"/>
  <c r="E160"/>
  <c r="C234"/>
  <c r="AL215"/>
  <c r="AK215"/>
  <c r="AJ215"/>
  <c r="AI191"/>
  <c r="AK228"/>
  <c r="V217"/>
  <c r="T217"/>
  <c r="U217"/>
  <c r="AA253"/>
  <c r="AF179"/>
  <c r="AA216"/>
  <c r="AA231"/>
  <c r="AF157"/>
  <c r="AA194"/>
  <c r="AA233"/>
  <c r="AF159"/>
  <c r="AA196"/>
  <c r="D201"/>
  <c r="F201"/>
  <c r="E201"/>
  <c r="AL210"/>
  <c r="AJ210"/>
  <c r="AK210"/>
  <c r="S233"/>
  <c r="W159"/>
  <c r="S196"/>
  <c r="F213"/>
  <c r="D213"/>
  <c r="E213"/>
  <c r="AO157"/>
  <c r="AI194"/>
  <c r="AK201"/>
  <c r="AL201"/>
  <c r="AJ201"/>
  <c r="C232"/>
  <c r="E158"/>
  <c r="C195"/>
  <c r="U181"/>
  <c r="V144"/>
  <c r="V181"/>
  <c r="T255"/>
  <c r="D204"/>
  <c r="F204"/>
  <c r="E204"/>
  <c r="AL212"/>
  <c r="AK212"/>
  <c r="AJ212"/>
  <c r="AA232"/>
  <c r="AA195"/>
  <c r="AF158"/>
  <c r="K230"/>
  <c r="M230"/>
  <c r="K193"/>
  <c r="N156"/>
  <c r="Q156"/>
  <c r="U201"/>
  <c r="V201"/>
  <c r="T201"/>
  <c r="AC206"/>
  <c r="AD206"/>
  <c r="AB206"/>
  <c r="L202"/>
  <c r="N202"/>
  <c r="M202"/>
  <c r="K235"/>
  <c r="K198"/>
  <c r="N161"/>
  <c r="AO159"/>
  <c r="AI196"/>
  <c r="N203"/>
  <c r="L203"/>
  <c r="M203"/>
  <c r="S253"/>
  <c r="W179"/>
  <c r="AD212"/>
  <c r="AB212"/>
  <c r="AC212"/>
  <c r="AL202"/>
  <c r="AJ202"/>
  <c r="AK202"/>
  <c r="AL205"/>
  <c r="AK205"/>
  <c r="AJ205"/>
  <c r="AD205"/>
  <c r="AC205"/>
  <c r="AB205"/>
  <c r="AK208"/>
  <c r="AJ208"/>
  <c r="AL208"/>
  <c r="D207"/>
  <c r="F207"/>
  <c r="E207"/>
  <c r="N210"/>
  <c r="M210"/>
  <c r="L210"/>
  <c r="U208"/>
  <c r="T208"/>
  <c r="V208"/>
  <c r="N204"/>
  <c r="L204"/>
  <c r="M204"/>
  <c r="V200"/>
  <c r="U200"/>
  <c r="T200"/>
  <c r="F202"/>
  <c r="E202"/>
  <c r="D202"/>
  <c r="C233"/>
  <c r="C196"/>
  <c r="E159"/>
  <c r="E209"/>
  <c r="D209"/>
  <c r="F209"/>
  <c r="C191"/>
  <c r="D228"/>
  <c r="F228"/>
  <c r="E200"/>
  <c r="F200"/>
  <c r="D200"/>
  <c r="N216"/>
  <c r="M216"/>
  <c r="L216"/>
  <c r="AD417" i="1"/>
  <c r="N158" i="2"/>
  <c r="K232"/>
  <c r="K195"/>
  <c r="K228"/>
  <c r="M228"/>
  <c r="O228"/>
  <c r="N154"/>
  <c r="Q154"/>
  <c r="K191"/>
  <c r="V205"/>
  <c r="U205"/>
  <c r="T205"/>
  <c r="V206"/>
  <c r="T206"/>
  <c r="U206"/>
  <c r="K234"/>
  <c r="N160"/>
  <c r="K197"/>
  <c r="F211"/>
  <c r="E211"/>
  <c r="D211"/>
  <c r="D212"/>
  <c r="E212"/>
  <c r="F212"/>
  <c r="AL206"/>
  <c r="AK206"/>
  <c r="AJ206"/>
  <c r="AF417" i="1"/>
  <c r="N155" i="2"/>
  <c r="Q155"/>
  <c r="L229"/>
  <c r="N229"/>
  <c r="AJ200"/>
  <c r="AL200"/>
  <c r="AK200"/>
  <c r="N269" i="1"/>
  <c r="T268"/>
  <c r="M69" i="2"/>
  <c r="S69"/>
  <c r="H259" i="1"/>
  <c r="H60" i="2"/>
  <c r="AG80"/>
  <c r="C253" i="1"/>
  <c r="I253"/>
  <c r="C53" i="2"/>
  <c r="I53"/>
  <c r="AI308"/>
  <c r="S307"/>
  <c r="O80"/>
  <c r="AI80"/>
  <c r="K307"/>
  <c r="N80"/>
  <c r="AH80"/>
  <c r="AA308"/>
  <c r="P81"/>
  <c r="AJ81"/>
  <c r="S308"/>
  <c r="O81"/>
  <c r="AI81"/>
  <c r="C81"/>
  <c r="I81"/>
  <c r="D12"/>
  <c r="D82"/>
  <c r="D207" i="1"/>
  <c r="Q12" i="2"/>
  <c r="Q82"/>
  <c r="AK82"/>
  <c r="P207" i="1"/>
  <c r="N11" i="2"/>
  <c r="M206" i="1"/>
  <c r="P12" i="2"/>
  <c r="P82"/>
  <c r="AJ82"/>
  <c r="O207" i="1"/>
  <c r="E12" i="2"/>
  <c r="E82"/>
  <c r="E207" i="1"/>
  <c r="C12" i="2"/>
  <c r="C207" i="1"/>
  <c r="L74"/>
  <c r="C75"/>
  <c r="G13" i="2"/>
  <c r="G83"/>
  <c r="G208" i="1"/>
  <c r="F13" i="2"/>
  <c r="F83"/>
  <c r="F208" i="1"/>
  <c r="M11" i="2"/>
  <c r="L206" i="1"/>
  <c r="E75"/>
  <c r="E76"/>
  <c r="N74"/>
  <c r="X44" i="4"/>
  <c r="E13" i="3"/>
  <c r="O45" i="4"/>
  <c r="Q45"/>
  <c r="Z44"/>
  <c r="G13" i="3"/>
  <c r="N45" i="4"/>
  <c r="W44"/>
  <c r="D13" i="3"/>
  <c r="M45" i="4"/>
  <c r="V44"/>
  <c r="C13" i="3"/>
  <c r="R45" i="4"/>
  <c r="AA44"/>
  <c r="P45"/>
  <c r="Y44"/>
  <c r="F13" i="3"/>
  <c r="Q11"/>
  <c r="AI11"/>
  <c r="R268" i="2"/>
  <c r="AB268"/>
  <c r="AL268"/>
  <c r="AV268"/>
  <c r="BF268"/>
  <c r="F310"/>
  <c r="N310"/>
  <c r="V310"/>
  <c r="AD310"/>
  <c r="AL310"/>
  <c r="AT310"/>
  <c r="C642" i="1"/>
  <c r="AS231" i="2"/>
  <c r="P157"/>
  <c r="O158"/>
  <c r="AH157"/>
  <c r="AG158"/>
  <c r="Y157"/>
  <c r="X158"/>
  <c r="O305"/>
  <c r="AM305"/>
  <c r="AQ157"/>
  <c r="AP158"/>
  <c r="D642" i="1"/>
  <c r="AT231" i="2"/>
  <c r="N230"/>
  <c r="V230"/>
  <c r="AD230"/>
  <c r="AE305"/>
  <c r="Q10" i="3"/>
  <c r="AI10"/>
  <c r="G305" i="2"/>
  <c r="G157"/>
  <c r="F158"/>
  <c r="W305"/>
  <c r="J229"/>
  <c r="R192"/>
  <c r="J231"/>
  <c r="R194"/>
  <c r="J233"/>
  <c r="R196"/>
  <c r="J235"/>
  <c r="R198"/>
  <c r="J237"/>
  <c r="R200"/>
  <c r="J239"/>
  <c r="R202"/>
  <c r="R191"/>
  <c r="J228"/>
  <c r="R193"/>
  <c r="J230"/>
  <c r="R195"/>
  <c r="J232"/>
  <c r="R197"/>
  <c r="J234"/>
  <c r="R199"/>
  <c r="J236"/>
  <c r="R201"/>
  <c r="J238"/>
  <c r="R203"/>
  <c r="J240"/>
  <c r="Z189"/>
  <c r="R226"/>
  <c r="R205"/>
  <c r="J242"/>
  <c r="J241"/>
  <c r="R204"/>
  <c r="J243"/>
  <c r="R206"/>
  <c r="J245"/>
  <c r="R208"/>
  <c r="J247"/>
  <c r="R210"/>
  <c r="J249"/>
  <c r="R212"/>
  <c r="J251"/>
  <c r="R214"/>
  <c r="R207"/>
  <c r="J244"/>
  <c r="R209"/>
  <c r="J246"/>
  <c r="R211"/>
  <c r="J248"/>
  <c r="R213"/>
  <c r="J250"/>
  <c r="R215"/>
  <c r="J252"/>
  <c r="R227"/>
  <c r="Z190"/>
  <c r="K181"/>
  <c r="T181"/>
  <c r="AC181"/>
  <c r="AL181"/>
  <c r="AU181"/>
  <c r="B218"/>
  <c r="J218"/>
  <c r="R218"/>
  <c r="Z218"/>
  <c r="AH218"/>
  <c r="AP218"/>
  <c r="K179"/>
  <c r="T179"/>
  <c r="AC179"/>
  <c r="AL179"/>
  <c r="AU179"/>
  <c r="B216"/>
  <c r="J216"/>
  <c r="B305"/>
  <c r="J305"/>
  <c r="R305"/>
  <c r="Z305"/>
  <c r="AH305"/>
  <c r="AP305"/>
  <c r="B266"/>
  <c r="L266"/>
  <c r="V266"/>
  <c r="AF266"/>
  <c r="AP266"/>
  <c r="AZ266"/>
  <c r="B229"/>
  <c r="B268"/>
  <c r="L268"/>
  <c r="V268"/>
  <c r="AF268"/>
  <c r="AP268"/>
  <c r="AZ268"/>
  <c r="B231"/>
  <c r="B270"/>
  <c r="L270"/>
  <c r="V270"/>
  <c r="AF270"/>
  <c r="AP270"/>
  <c r="AZ270"/>
  <c r="B233"/>
  <c r="B272"/>
  <c r="L272"/>
  <c r="V272"/>
  <c r="AF272"/>
  <c r="AP272"/>
  <c r="AZ272"/>
  <c r="B235"/>
  <c r="B274"/>
  <c r="L274"/>
  <c r="V274"/>
  <c r="AF274"/>
  <c r="AP274"/>
  <c r="AZ274"/>
  <c r="B237"/>
  <c r="B276"/>
  <c r="L276"/>
  <c r="V276"/>
  <c r="AF276"/>
  <c r="AP276"/>
  <c r="AZ276"/>
  <c r="B239"/>
  <c r="B265"/>
  <c r="L265"/>
  <c r="V265"/>
  <c r="AF265"/>
  <c r="AP265"/>
  <c r="AZ265"/>
  <c r="B228"/>
  <c r="B267"/>
  <c r="L267"/>
  <c r="V267"/>
  <c r="AF267"/>
  <c r="AP267"/>
  <c r="AZ267"/>
  <c r="B230"/>
  <c r="B269"/>
  <c r="L269"/>
  <c r="V269"/>
  <c r="AF269"/>
  <c r="AP269"/>
  <c r="AZ269"/>
  <c r="B232"/>
  <c r="B271"/>
  <c r="L271"/>
  <c r="V271"/>
  <c r="AF271"/>
  <c r="AP271"/>
  <c r="AZ271"/>
  <c r="B234"/>
  <c r="B273"/>
  <c r="L273"/>
  <c r="V273"/>
  <c r="AF273"/>
  <c r="AP273"/>
  <c r="AZ273"/>
  <c r="B236"/>
  <c r="B275"/>
  <c r="L275"/>
  <c r="V275"/>
  <c r="AF275"/>
  <c r="AP275"/>
  <c r="AZ275"/>
  <c r="B238"/>
  <c r="B277"/>
  <c r="L277"/>
  <c r="V277"/>
  <c r="AF277"/>
  <c r="AP277"/>
  <c r="AZ277"/>
  <c r="B240"/>
  <c r="B306"/>
  <c r="J306"/>
  <c r="R306"/>
  <c r="Z306"/>
  <c r="AH306"/>
  <c r="AP306"/>
  <c r="B279"/>
  <c r="L279"/>
  <c r="V279"/>
  <c r="AF279"/>
  <c r="AP279"/>
  <c r="AZ279"/>
  <c r="B242"/>
  <c r="B278"/>
  <c r="L278"/>
  <c r="V278"/>
  <c r="AF278"/>
  <c r="AP278"/>
  <c r="AZ278"/>
  <c r="B241"/>
  <c r="B280"/>
  <c r="L280"/>
  <c r="V280"/>
  <c r="AF280"/>
  <c r="AP280"/>
  <c r="AZ280"/>
  <c r="B243"/>
  <c r="B282"/>
  <c r="L282"/>
  <c r="V282"/>
  <c r="AF282"/>
  <c r="AP282"/>
  <c r="AZ282"/>
  <c r="B245"/>
  <c r="B284"/>
  <c r="L284"/>
  <c r="V284"/>
  <c r="AF284"/>
  <c r="AP284"/>
  <c r="AZ284"/>
  <c r="B247"/>
  <c r="B286"/>
  <c r="L286"/>
  <c r="V286"/>
  <c r="AF286"/>
  <c r="AP286"/>
  <c r="AZ286"/>
  <c r="B249"/>
  <c r="B288"/>
  <c r="L288"/>
  <c r="V288"/>
  <c r="AF288"/>
  <c r="AP288"/>
  <c r="AZ288"/>
  <c r="B251"/>
  <c r="B281"/>
  <c r="L281"/>
  <c r="V281"/>
  <c r="AF281"/>
  <c r="AP281"/>
  <c r="AZ281"/>
  <c r="B244"/>
  <c r="B283"/>
  <c r="L283"/>
  <c r="V283"/>
  <c r="AF283"/>
  <c r="AP283"/>
  <c r="AZ283"/>
  <c r="B246"/>
  <c r="B285"/>
  <c r="L285"/>
  <c r="V285"/>
  <c r="AF285"/>
  <c r="AP285"/>
  <c r="AZ285"/>
  <c r="B248"/>
  <c r="B287"/>
  <c r="L287"/>
  <c r="V287"/>
  <c r="AF287"/>
  <c r="AP287"/>
  <c r="AZ287"/>
  <c r="B250"/>
  <c r="B289"/>
  <c r="L289"/>
  <c r="V289"/>
  <c r="AF289"/>
  <c r="AP289"/>
  <c r="AZ289"/>
  <c r="B252"/>
  <c r="G76" i="1"/>
  <c r="P75"/>
  <c r="M74"/>
  <c r="D75"/>
  <c r="O75"/>
  <c r="F76"/>
  <c r="R21"/>
  <c r="H20"/>
  <c r="E17"/>
  <c r="F16"/>
  <c r="H269" i="2"/>
  <c r="L17" i="1"/>
  <c r="N16"/>
  <c r="K20"/>
  <c r="S21"/>
  <c r="T21"/>
  <c r="O20"/>
  <c r="M265" i="2"/>
  <c r="AX117"/>
  <c r="N265"/>
  <c r="BD154"/>
  <c r="AJ266"/>
  <c r="AZ229"/>
  <c r="D264"/>
  <c r="BC153"/>
  <c r="W271"/>
  <c r="AY123"/>
  <c r="C264"/>
  <c r="AW116"/>
  <c r="AG268"/>
  <c r="AZ120"/>
  <c r="BB269"/>
  <c r="BH158"/>
  <c r="AQ265"/>
  <c r="BA117"/>
  <c r="D266"/>
  <c r="BC155"/>
  <c r="Z266"/>
  <c r="AY229"/>
  <c r="X265"/>
  <c r="BE154"/>
  <c r="AJ264"/>
  <c r="AZ227"/>
  <c r="AG290"/>
  <c r="AZ142"/>
  <c r="AQ268"/>
  <c r="BA120"/>
  <c r="C290"/>
  <c r="AW142"/>
  <c r="AG271"/>
  <c r="AZ123"/>
  <c r="C269"/>
  <c r="AW121"/>
  <c r="W272"/>
  <c r="AY124"/>
  <c r="W265"/>
  <c r="AY117"/>
  <c r="W267"/>
  <c r="AY119"/>
  <c r="AG266"/>
  <c r="AZ118"/>
  <c r="M267"/>
  <c r="AX119"/>
  <c r="S259" i="1"/>
  <c r="R59" i="2"/>
  <c r="S59"/>
  <c r="T258" i="1"/>
  <c r="N267" i="2"/>
  <c r="BD156"/>
  <c r="AR267"/>
  <c r="BG156"/>
  <c r="X267"/>
  <c r="BE156"/>
  <c r="AH264"/>
  <c r="BF153"/>
  <c r="M270"/>
  <c r="AX122"/>
  <c r="M271"/>
  <c r="AX123"/>
  <c r="AQ271"/>
  <c r="BA123"/>
  <c r="AQ290"/>
  <c r="BA142"/>
  <c r="P265"/>
  <c r="AX228"/>
  <c r="D265"/>
  <c r="BC154"/>
  <c r="Z265"/>
  <c r="AY228"/>
  <c r="F264"/>
  <c r="AW227"/>
  <c r="AH267"/>
  <c r="BF156"/>
  <c r="AQ270"/>
  <c r="BA122"/>
  <c r="D283" i="1"/>
  <c r="W266" i="2"/>
  <c r="AY118"/>
  <c r="C266"/>
  <c r="AW118"/>
  <c r="AQ267"/>
  <c r="BA119"/>
  <c r="AG264"/>
  <c r="AZ116"/>
  <c r="C271"/>
  <c r="AW123"/>
  <c r="AQ272"/>
  <c r="BA124"/>
  <c r="C267"/>
  <c r="AW119"/>
  <c r="W290"/>
  <c r="AY142"/>
  <c r="C272"/>
  <c r="AW124"/>
  <c r="AQ269"/>
  <c r="BA121"/>
  <c r="AG265"/>
  <c r="AZ117"/>
  <c r="X266"/>
  <c r="BE155"/>
  <c r="N266"/>
  <c r="BD155"/>
  <c r="F266"/>
  <c r="AW229"/>
  <c r="AH266"/>
  <c r="BF155"/>
  <c r="AG270"/>
  <c r="AZ122"/>
  <c r="W270"/>
  <c r="AY122"/>
  <c r="C265"/>
  <c r="AW117"/>
  <c r="M266"/>
  <c r="AX118"/>
  <c r="AG269"/>
  <c r="AZ121"/>
  <c r="M269"/>
  <c r="AX121"/>
  <c r="AG291"/>
  <c r="AZ143"/>
  <c r="M290"/>
  <c r="AX142"/>
  <c r="AG272"/>
  <c r="AZ124"/>
  <c r="C270"/>
  <c r="AW122"/>
  <c r="W269"/>
  <c r="AY121"/>
  <c r="BD267"/>
  <c r="BE267"/>
  <c r="AR309"/>
  <c r="AS309"/>
  <c r="AU309"/>
  <c r="BB230"/>
  <c r="R82"/>
  <c r="AU216"/>
  <c r="AD307" i="1"/>
  <c r="R13" i="2"/>
  <c r="AQ310"/>
  <c r="Q208" i="1"/>
  <c r="AU231" i="2"/>
  <c r="AO154"/>
  <c r="AR154"/>
  <c r="AJ228"/>
  <c r="AL228"/>
  <c r="AI229"/>
  <c r="AK229"/>
  <c r="S80"/>
  <c r="AB80"/>
  <c r="AU215"/>
  <c r="AQ255"/>
  <c r="AQ218"/>
  <c r="AK227"/>
  <c r="AJ227"/>
  <c r="AL227"/>
  <c r="AT217"/>
  <c r="AS217"/>
  <c r="AR217"/>
  <c r="AL82"/>
  <c r="E217"/>
  <c r="E156"/>
  <c r="H156"/>
  <c r="C193"/>
  <c r="D193"/>
  <c r="AM118"/>
  <c r="N157"/>
  <c r="Q157"/>
  <c r="K194"/>
  <c r="N194"/>
  <c r="U195"/>
  <c r="I12"/>
  <c r="AO155"/>
  <c r="AR155"/>
  <c r="AI192"/>
  <c r="AJ192"/>
  <c r="X287" i="1"/>
  <c r="L120" i="2"/>
  <c r="O120"/>
  <c r="O124"/>
  <c r="AG295" i="1"/>
  <c r="F283"/>
  <c r="O283"/>
  <c r="AF154" i="2"/>
  <c r="AI154"/>
  <c r="AL229"/>
  <c r="F290" i="1"/>
  <c r="O290"/>
  <c r="W14" i="3"/>
  <c r="Y10"/>
  <c r="X289" i="1"/>
  <c r="AG289"/>
  <c r="V285"/>
  <c r="Y283"/>
  <c r="AH283"/>
  <c r="AM116" i="2"/>
  <c r="L285" i="1"/>
  <c r="AD285"/>
  <c r="L309"/>
  <c r="AD309"/>
  <c r="AB119" i="2"/>
  <c r="AE119"/>
  <c r="G120"/>
  <c r="V195"/>
  <c r="F217"/>
  <c r="G282" i="1"/>
  <c r="Y282"/>
  <c r="W286"/>
  <c r="X16" i="3"/>
  <c r="AO153" i="2"/>
  <c r="AR153"/>
  <c r="AF161"/>
  <c r="AI190"/>
  <c r="AL190"/>
  <c r="C194"/>
  <c r="F194"/>
  <c r="U36" i="3"/>
  <c r="AG304" i="1"/>
  <c r="AA198" i="2"/>
  <c r="AD198"/>
  <c r="E157"/>
  <c r="H157"/>
  <c r="W35" i="3"/>
  <c r="M285" i="1"/>
  <c r="AE285"/>
  <c r="S190" i="2"/>
  <c r="V190"/>
  <c r="AH297" i="1"/>
  <c r="Q76"/>
  <c r="H77"/>
  <c r="H210"/>
  <c r="H14" i="2"/>
  <c r="H84"/>
  <c r="S11"/>
  <c r="AA228"/>
  <c r="AC228"/>
  <c r="AE228"/>
  <c r="O287" i="1"/>
  <c r="AG287"/>
  <c r="AG299"/>
  <c r="AF295"/>
  <c r="AH301"/>
  <c r="AA191" i="2"/>
  <c r="AB191"/>
  <c r="AH303" i="1"/>
  <c r="AH287"/>
  <c r="R71" i="2"/>
  <c r="O229"/>
  <c r="W153"/>
  <c r="Z153"/>
  <c r="W227"/>
  <c r="AD296" i="1"/>
  <c r="N308"/>
  <c r="AF308"/>
  <c r="AG305"/>
  <c r="AE294"/>
  <c r="AH308"/>
  <c r="AH289"/>
  <c r="T120" i="2"/>
  <c r="W120"/>
  <c r="AU144"/>
  <c r="T116"/>
  <c r="W116"/>
  <c r="E282" i="1"/>
  <c r="AE305"/>
  <c r="F284"/>
  <c r="X11" i="3"/>
  <c r="W13"/>
  <c r="AE301" i="1"/>
  <c r="AE298"/>
  <c r="AF293"/>
  <c r="AX181" i="2"/>
  <c r="AZ159"/>
  <c r="BA159"/>
  <c r="AY160"/>
  <c r="W205"/>
  <c r="G202"/>
  <c r="O210"/>
  <c r="W217"/>
  <c r="AE210"/>
  <c r="AE292" i="1"/>
  <c r="AF286"/>
  <c r="AD299"/>
  <c r="AH294"/>
  <c r="AF307"/>
  <c r="AF292"/>
  <c r="AH298"/>
  <c r="AD290"/>
  <c r="AF297"/>
  <c r="AD303"/>
  <c r="O209" i="2"/>
  <c r="AH302" i="1"/>
  <c r="AE300"/>
  <c r="AG302"/>
  <c r="AD298"/>
  <c r="AD305"/>
  <c r="AG301"/>
  <c r="AG307"/>
  <c r="AD293"/>
  <c r="AG298"/>
  <c r="V308"/>
  <c r="V35" i="3"/>
  <c r="M308" i="1"/>
  <c r="AH304"/>
  <c r="W201" i="2"/>
  <c r="AM209"/>
  <c r="AD301" i="1"/>
  <c r="AD300"/>
  <c r="AF300"/>
  <c r="AD292"/>
  <c r="AG303"/>
  <c r="AH309"/>
  <c r="AE307"/>
  <c r="AG297"/>
  <c r="AE299"/>
  <c r="AD294"/>
  <c r="AH305"/>
  <c r="AE297"/>
  <c r="AD295"/>
  <c r="X309"/>
  <c r="O309"/>
  <c r="X36" i="3"/>
  <c r="AJ144" i="2"/>
  <c r="AM144"/>
  <c r="G310" i="1"/>
  <c r="O308"/>
  <c r="X308"/>
  <c r="X35" i="3"/>
  <c r="P286" i="1"/>
  <c r="Y286"/>
  <c r="Y13" i="3"/>
  <c r="O288" i="1"/>
  <c r="X288"/>
  <c r="X15" i="3"/>
  <c r="M283" i="1"/>
  <c r="V283"/>
  <c r="V10" i="3"/>
  <c r="X283" i="1"/>
  <c r="N288"/>
  <c r="W288"/>
  <c r="W15" i="3"/>
  <c r="N290" i="1"/>
  <c r="W290"/>
  <c r="W17" i="3"/>
  <c r="L283" i="1"/>
  <c r="U283"/>
  <c r="U10" i="3"/>
  <c r="M284" i="1"/>
  <c r="V284"/>
  <c r="V11" i="3"/>
  <c r="T144" i="2"/>
  <c r="W144"/>
  <c r="E310" i="1"/>
  <c r="AM208" i="2"/>
  <c r="AE212"/>
  <c r="O202"/>
  <c r="AM210"/>
  <c r="AE207"/>
  <c r="G206"/>
  <c r="AE204"/>
  <c r="G205"/>
  <c r="L144"/>
  <c r="O144"/>
  <c r="D310" i="1"/>
  <c r="AE211" i="2"/>
  <c r="AM211"/>
  <c r="O205"/>
  <c r="G208"/>
  <c r="P288" i="1"/>
  <c r="Y288"/>
  <c r="Y15" i="3"/>
  <c r="AB144" i="2"/>
  <c r="AE144"/>
  <c r="F310" i="1"/>
  <c r="P284"/>
  <c r="Y284"/>
  <c r="Y11" i="3"/>
  <c r="L284" i="1"/>
  <c r="U284"/>
  <c r="U11" i="3"/>
  <c r="M289" i="1"/>
  <c r="V289"/>
  <c r="V16" i="3"/>
  <c r="O286" i="1"/>
  <c r="X286"/>
  <c r="X13" i="3"/>
  <c r="L289" i="1"/>
  <c r="U289"/>
  <c r="U16" i="3"/>
  <c r="AM200" i="2"/>
  <c r="AM206"/>
  <c r="D144"/>
  <c r="G144"/>
  <c r="C310" i="1"/>
  <c r="AM228" i="2"/>
  <c r="AE213"/>
  <c r="W202"/>
  <c r="M290" i="1"/>
  <c r="V290"/>
  <c r="V17" i="3"/>
  <c r="L308" i="1"/>
  <c r="U308"/>
  <c r="U35" i="3"/>
  <c r="L286" i="1"/>
  <c r="U286"/>
  <c r="U13" i="3"/>
  <c r="N284" i="1"/>
  <c r="W284"/>
  <c r="W11" i="3"/>
  <c r="L287" i="1"/>
  <c r="U287"/>
  <c r="U14" i="3"/>
  <c r="M286" i="1"/>
  <c r="V286"/>
  <c r="V13" i="3"/>
  <c r="N283" i="1"/>
  <c r="W283"/>
  <c r="W10" i="3"/>
  <c r="N285" i="1"/>
  <c r="W285"/>
  <c r="W12" i="3"/>
  <c r="AR157" i="2"/>
  <c r="Z157"/>
  <c r="W208"/>
  <c r="O208"/>
  <c r="O215"/>
  <c r="W204"/>
  <c r="G215"/>
  <c r="W210"/>
  <c r="AE217"/>
  <c r="W203"/>
  <c r="W207"/>
  <c r="AH300" i="1"/>
  <c r="AF298"/>
  <c r="N289"/>
  <c r="W289"/>
  <c r="W16" i="3"/>
  <c r="AE287" i="1"/>
  <c r="AH290"/>
  <c r="AG296"/>
  <c r="AE295"/>
  <c r="M288"/>
  <c r="V288"/>
  <c r="V15" i="3"/>
  <c r="AF305" i="1"/>
  <c r="L282"/>
  <c r="U282"/>
  <c r="U9" i="3"/>
  <c r="AF302" i="1"/>
  <c r="P285"/>
  <c r="Y285"/>
  <c r="Y12" i="3"/>
  <c r="O282" i="1"/>
  <c r="X282"/>
  <c r="X9" i="3"/>
  <c r="O285" i="1"/>
  <c r="X285"/>
  <c r="X12" i="3"/>
  <c r="AD288" i="1"/>
  <c r="AD297"/>
  <c r="AL196" i="2"/>
  <c r="AK196"/>
  <c r="AJ196"/>
  <c r="N193"/>
  <c r="M193"/>
  <c r="L193"/>
  <c r="D195"/>
  <c r="E195"/>
  <c r="F195"/>
  <c r="V196"/>
  <c r="U196"/>
  <c r="T196"/>
  <c r="AD216"/>
  <c r="AB216"/>
  <c r="AC216"/>
  <c r="AJ191"/>
  <c r="AK191"/>
  <c r="AL191"/>
  <c r="V198"/>
  <c r="U198"/>
  <c r="T198"/>
  <c r="AA255"/>
  <c r="AA218"/>
  <c r="AF181"/>
  <c r="AL216"/>
  <c r="AK216"/>
  <c r="AJ216"/>
  <c r="N196"/>
  <c r="M196"/>
  <c r="L196"/>
  <c r="G212"/>
  <c r="N197"/>
  <c r="L197"/>
  <c r="M197"/>
  <c r="W206"/>
  <c r="G200"/>
  <c r="F191"/>
  <c r="E191"/>
  <c r="D191"/>
  <c r="G207"/>
  <c r="AM205"/>
  <c r="AM202"/>
  <c r="O203"/>
  <c r="AE206"/>
  <c r="AM212"/>
  <c r="G201"/>
  <c r="AB194"/>
  <c r="AC194"/>
  <c r="AD194"/>
  <c r="AE215"/>
  <c r="AC192"/>
  <c r="AD192"/>
  <c r="AB192"/>
  <c r="C255"/>
  <c r="E181"/>
  <c r="C218"/>
  <c r="AE202"/>
  <c r="W215"/>
  <c r="AD197"/>
  <c r="AB197"/>
  <c r="AC197"/>
  <c r="W211"/>
  <c r="W209"/>
  <c r="W213"/>
  <c r="O200"/>
  <c r="AM217"/>
  <c r="AM203"/>
  <c r="K255"/>
  <c r="N181"/>
  <c r="K218"/>
  <c r="N198"/>
  <c r="L198"/>
  <c r="M198"/>
  <c r="U194"/>
  <c r="T194"/>
  <c r="V194"/>
  <c r="AO181"/>
  <c r="AI218"/>
  <c r="G211"/>
  <c r="L195"/>
  <c r="N195"/>
  <c r="M195"/>
  <c r="O216"/>
  <c r="D196"/>
  <c r="F196"/>
  <c r="E196"/>
  <c r="AE205"/>
  <c r="G204"/>
  <c r="AD196"/>
  <c r="AB196"/>
  <c r="AC196"/>
  <c r="AM215"/>
  <c r="V216"/>
  <c r="U216"/>
  <c r="T216"/>
  <c r="AM204"/>
  <c r="AK193"/>
  <c r="AL193"/>
  <c r="AJ193"/>
  <c r="V192"/>
  <c r="U192"/>
  <c r="T192"/>
  <c r="AE200"/>
  <c r="AM207"/>
  <c r="AL198"/>
  <c r="AK198"/>
  <c r="AJ198"/>
  <c r="O213"/>
  <c r="AC193"/>
  <c r="AD193"/>
  <c r="AB193"/>
  <c r="D216"/>
  <c r="F216"/>
  <c r="E216"/>
  <c r="AE201"/>
  <c r="O217"/>
  <c r="U193"/>
  <c r="T193"/>
  <c r="V193"/>
  <c r="AE209"/>
  <c r="AK197"/>
  <c r="AJ197"/>
  <c r="AL197"/>
  <c r="AE203"/>
  <c r="O212"/>
  <c r="AB190"/>
  <c r="AD190"/>
  <c r="AC190"/>
  <c r="O206"/>
  <c r="AI157"/>
  <c r="M191"/>
  <c r="N191"/>
  <c r="L191"/>
  <c r="G209"/>
  <c r="W200"/>
  <c r="O204"/>
  <c r="AB195"/>
  <c r="AD195"/>
  <c r="AC195"/>
  <c r="S255"/>
  <c r="W181"/>
  <c r="S218"/>
  <c r="AM201"/>
  <c r="AL194"/>
  <c r="AK194"/>
  <c r="AJ194"/>
  <c r="G213"/>
  <c r="F197"/>
  <c r="D197"/>
  <c r="E197"/>
  <c r="E192"/>
  <c r="F192"/>
  <c r="D192"/>
  <c r="T197"/>
  <c r="V197"/>
  <c r="U197"/>
  <c r="G228"/>
  <c r="T191"/>
  <c r="V191"/>
  <c r="U191"/>
  <c r="O201"/>
  <c r="AE208"/>
  <c r="D190"/>
  <c r="E190"/>
  <c r="F190"/>
  <c r="M192"/>
  <c r="N192"/>
  <c r="L192"/>
  <c r="O211"/>
  <c r="AK195"/>
  <c r="AL195"/>
  <c r="AJ195"/>
  <c r="O207"/>
  <c r="G203"/>
  <c r="AM213"/>
  <c r="W212"/>
  <c r="F198"/>
  <c r="E198"/>
  <c r="D198"/>
  <c r="G210"/>
  <c r="N270" i="1"/>
  <c r="T269"/>
  <c r="M70" i="2"/>
  <c r="S70"/>
  <c r="H260" i="1"/>
  <c r="H61" i="2"/>
  <c r="X79"/>
  <c r="AM79"/>
  <c r="AA309"/>
  <c r="C254" i="1"/>
  <c r="I254"/>
  <c r="C54" i="2"/>
  <c r="I54"/>
  <c r="AI309"/>
  <c r="AC79"/>
  <c r="Z79"/>
  <c r="Y79"/>
  <c r="AA79"/>
  <c r="W79"/>
  <c r="C308"/>
  <c r="M81"/>
  <c r="C82"/>
  <c r="I82"/>
  <c r="K308"/>
  <c r="N81"/>
  <c r="AH81"/>
  <c r="P13"/>
  <c r="P83"/>
  <c r="AJ83"/>
  <c r="O208" i="1"/>
  <c r="F14" i="2"/>
  <c r="F84"/>
  <c r="F209" i="1"/>
  <c r="D13" i="2"/>
  <c r="D83"/>
  <c r="D208" i="1"/>
  <c r="E14" i="2"/>
  <c r="E84"/>
  <c r="E209" i="1"/>
  <c r="G14" i="2"/>
  <c r="G84"/>
  <c r="G209" i="1"/>
  <c r="E13" i="2"/>
  <c r="E83"/>
  <c r="E208" i="1"/>
  <c r="M12" i="2"/>
  <c r="L207" i="1"/>
  <c r="N12" i="2"/>
  <c r="N82"/>
  <c r="AH82"/>
  <c r="M207" i="1"/>
  <c r="Q13" i="2"/>
  <c r="Q83"/>
  <c r="AK83"/>
  <c r="P208" i="1"/>
  <c r="O12" i="2"/>
  <c r="N207" i="1"/>
  <c r="C13" i="2"/>
  <c r="C208" i="1"/>
  <c r="C76"/>
  <c r="L75"/>
  <c r="N75"/>
  <c r="P46" i="4"/>
  <c r="Y45"/>
  <c r="F14" i="3"/>
  <c r="R46" i="4"/>
  <c r="AA45"/>
  <c r="V45"/>
  <c r="C14" i="3"/>
  <c r="M46" i="4"/>
  <c r="N46"/>
  <c r="W45"/>
  <c r="D14" i="3"/>
  <c r="Z45" i="4"/>
  <c r="G14" i="3"/>
  <c r="Q46" i="4"/>
  <c r="X45"/>
  <c r="E14" i="3"/>
  <c r="O46" i="4"/>
  <c r="AE230" i="2"/>
  <c r="G158"/>
  <c r="H158"/>
  <c r="F159"/>
  <c r="D643" i="1"/>
  <c r="AT232" i="2"/>
  <c r="F231"/>
  <c r="N231"/>
  <c r="V231"/>
  <c r="AD231"/>
  <c r="AL231"/>
  <c r="O230"/>
  <c r="W230"/>
  <c r="R269"/>
  <c r="AB269"/>
  <c r="AL269"/>
  <c r="AV269"/>
  <c r="BF269"/>
  <c r="F311"/>
  <c r="N311"/>
  <c r="V311"/>
  <c r="AD311"/>
  <c r="AL311"/>
  <c r="AT311"/>
  <c r="AQ158"/>
  <c r="AR158"/>
  <c r="AP159"/>
  <c r="Y158"/>
  <c r="Z158"/>
  <c r="X159"/>
  <c r="AH158"/>
  <c r="AI158"/>
  <c r="AG159"/>
  <c r="P158"/>
  <c r="Q158"/>
  <c r="O159"/>
  <c r="C643" i="1"/>
  <c r="AS232" i="2"/>
  <c r="U231"/>
  <c r="E231"/>
  <c r="AK231"/>
  <c r="AC231"/>
  <c r="M231"/>
  <c r="Q13" i="3"/>
  <c r="AI13"/>
  <c r="G230" i="2"/>
  <c r="AM230"/>
  <c r="Z215"/>
  <c r="R252"/>
  <c r="Z213"/>
  <c r="R250"/>
  <c r="Z211"/>
  <c r="R248"/>
  <c r="Z209"/>
  <c r="R246"/>
  <c r="Z207"/>
  <c r="R244"/>
  <c r="Z205"/>
  <c r="R242"/>
  <c r="AH189"/>
  <c r="AP189"/>
  <c r="AP226"/>
  <c r="Z226"/>
  <c r="Z203"/>
  <c r="R240"/>
  <c r="Z201"/>
  <c r="R238"/>
  <c r="Z199"/>
  <c r="R236"/>
  <c r="Z197"/>
  <c r="R234"/>
  <c r="Z195"/>
  <c r="R232"/>
  <c r="Z193"/>
  <c r="R230"/>
  <c r="Z191"/>
  <c r="R228"/>
  <c r="J253"/>
  <c r="R216"/>
  <c r="Z227"/>
  <c r="AH190"/>
  <c r="AP190"/>
  <c r="AP227"/>
  <c r="R251"/>
  <c r="Z214"/>
  <c r="R249"/>
  <c r="Z212"/>
  <c r="R247"/>
  <c r="Z210"/>
  <c r="R245"/>
  <c r="Z208"/>
  <c r="R243"/>
  <c r="Z206"/>
  <c r="R241"/>
  <c r="Z204"/>
  <c r="R239"/>
  <c r="Z202"/>
  <c r="R237"/>
  <c r="Z200"/>
  <c r="R235"/>
  <c r="Z198"/>
  <c r="R233"/>
  <c r="Z196"/>
  <c r="R231"/>
  <c r="Z194"/>
  <c r="R229"/>
  <c r="Z192"/>
  <c r="B331"/>
  <c r="J331"/>
  <c r="R331"/>
  <c r="Z331"/>
  <c r="AH331"/>
  <c r="AP331"/>
  <c r="B327"/>
  <c r="J327"/>
  <c r="R327"/>
  <c r="Z327"/>
  <c r="AH327"/>
  <c r="AP327"/>
  <c r="B323"/>
  <c r="J323"/>
  <c r="R323"/>
  <c r="Z323"/>
  <c r="AH323"/>
  <c r="AP323"/>
  <c r="B328"/>
  <c r="J328"/>
  <c r="R328"/>
  <c r="Z328"/>
  <c r="AH328"/>
  <c r="AP328"/>
  <c r="B324"/>
  <c r="J324"/>
  <c r="R324"/>
  <c r="Z324"/>
  <c r="AH324"/>
  <c r="AP324"/>
  <c r="B320"/>
  <c r="J320"/>
  <c r="R320"/>
  <c r="Z320"/>
  <c r="AH320"/>
  <c r="AP320"/>
  <c r="B319"/>
  <c r="J319"/>
  <c r="R319"/>
  <c r="Z319"/>
  <c r="AH319"/>
  <c r="AP319"/>
  <c r="B315"/>
  <c r="J315"/>
  <c r="R315"/>
  <c r="Z315"/>
  <c r="AH315"/>
  <c r="AP315"/>
  <c r="B311"/>
  <c r="J311"/>
  <c r="R311"/>
  <c r="Z311"/>
  <c r="AH311"/>
  <c r="AP311"/>
  <c r="B307"/>
  <c r="J307"/>
  <c r="R307"/>
  <c r="Z307"/>
  <c r="AH307"/>
  <c r="AP307"/>
  <c r="B316"/>
  <c r="J316"/>
  <c r="R316"/>
  <c r="Z316"/>
  <c r="AH316"/>
  <c r="AP316"/>
  <c r="B312"/>
  <c r="J312"/>
  <c r="R312"/>
  <c r="Z312"/>
  <c r="AH312"/>
  <c r="AP312"/>
  <c r="B308"/>
  <c r="J308"/>
  <c r="R308"/>
  <c r="Z308"/>
  <c r="AH308"/>
  <c r="AP308"/>
  <c r="B329"/>
  <c r="J329"/>
  <c r="R329"/>
  <c r="Z329"/>
  <c r="AH329"/>
  <c r="AP329"/>
  <c r="B325"/>
  <c r="J325"/>
  <c r="R325"/>
  <c r="Z325"/>
  <c r="AH325"/>
  <c r="AP325"/>
  <c r="B330"/>
  <c r="J330"/>
  <c r="R330"/>
  <c r="Z330"/>
  <c r="AH330"/>
  <c r="AP330"/>
  <c r="B326"/>
  <c r="J326"/>
  <c r="R326"/>
  <c r="Z326"/>
  <c r="AH326"/>
  <c r="AP326"/>
  <c r="B322"/>
  <c r="J322"/>
  <c r="R322"/>
  <c r="Z322"/>
  <c r="AH322"/>
  <c r="AP322"/>
  <c r="B321"/>
  <c r="J321"/>
  <c r="R321"/>
  <c r="Z321"/>
  <c r="AH321"/>
  <c r="AP321"/>
  <c r="B317"/>
  <c r="J317"/>
  <c r="R317"/>
  <c r="Z317"/>
  <c r="AH317"/>
  <c r="AP317"/>
  <c r="B313"/>
  <c r="J313"/>
  <c r="R313"/>
  <c r="Z313"/>
  <c r="AH313"/>
  <c r="AP313"/>
  <c r="B309"/>
  <c r="J309"/>
  <c r="R309"/>
  <c r="Z309"/>
  <c r="AH309"/>
  <c r="AP309"/>
  <c r="B318"/>
  <c r="J318"/>
  <c r="R318"/>
  <c r="Z318"/>
  <c r="AH318"/>
  <c r="AP318"/>
  <c r="B314"/>
  <c r="J314"/>
  <c r="R314"/>
  <c r="Z314"/>
  <c r="AH314"/>
  <c r="AP314"/>
  <c r="B310"/>
  <c r="J310"/>
  <c r="R310"/>
  <c r="Z310"/>
  <c r="AH310"/>
  <c r="AP310"/>
  <c r="B290"/>
  <c r="L290"/>
  <c r="V290"/>
  <c r="AF290"/>
  <c r="AP290"/>
  <c r="AZ290"/>
  <c r="B253"/>
  <c r="B292"/>
  <c r="L292"/>
  <c r="V292"/>
  <c r="AF292"/>
  <c r="AP292"/>
  <c r="AZ292"/>
  <c r="O76" i="1"/>
  <c r="F77"/>
  <c r="M75"/>
  <c r="D76"/>
  <c r="N76"/>
  <c r="E77"/>
  <c r="P76"/>
  <c r="G77"/>
  <c r="O21"/>
  <c r="T22"/>
  <c r="L18"/>
  <c r="N17"/>
  <c r="E18"/>
  <c r="F17"/>
  <c r="H270" i="2"/>
  <c r="R22" i="1"/>
  <c r="H21"/>
  <c r="S22"/>
  <c r="K21"/>
  <c r="N269" i="2"/>
  <c r="BD158"/>
  <c r="X269"/>
  <c r="BE158"/>
  <c r="AI282"/>
  <c r="AZ208"/>
  <c r="E283"/>
  <c r="AW209"/>
  <c r="AS291"/>
  <c r="BA217"/>
  <c r="Y289"/>
  <c r="AY215"/>
  <c r="AI289"/>
  <c r="AZ215"/>
  <c r="AS276"/>
  <c r="BA202"/>
  <c r="AI291"/>
  <c r="AZ217"/>
  <c r="AR268"/>
  <c r="BG157"/>
  <c r="E282"/>
  <c r="AW208"/>
  <c r="E280"/>
  <c r="AW206"/>
  <c r="AS283"/>
  <c r="BA209"/>
  <c r="O284"/>
  <c r="AX210"/>
  <c r="AG267"/>
  <c r="AZ119"/>
  <c r="O281"/>
  <c r="AX207"/>
  <c r="O285"/>
  <c r="AX211"/>
  <c r="F265"/>
  <c r="AW228"/>
  <c r="O280"/>
  <c r="AX206"/>
  <c r="O274"/>
  <c r="AX200"/>
  <c r="AI276"/>
  <c r="AZ202"/>
  <c r="AS279"/>
  <c r="BA205"/>
  <c r="Y276"/>
  <c r="AY202"/>
  <c r="O279"/>
  <c r="AX205"/>
  <c r="AI281"/>
  <c r="AZ207"/>
  <c r="Y275"/>
  <c r="AY201"/>
  <c r="AR264"/>
  <c r="BG153"/>
  <c r="D267"/>
  <c r="BC156"/>
  <c r="AT267"/>
  <c r="BA230"/>
  <c r="AU232"/>
  <c r="AH269"/>
  <c r="BF158"/>
  <c r="AR269"/>
  <c r="BG158"/>
  <c r="P267"/>
  <c r="AX230"/>
  <c r="D269"/>
  <c r="BC158"/>
  <c r="E284"/>
  <c r="AW210"/>
  <c r="Y286"/>
  <c r="AY212"/>
  <c r="O278"/>
  <c r="AX204"/>
  <c r="AI277"/>
  <c r="AZ203"/>
  <c r="AI283"/>
  <c r="AZ209"/>
  <c r="O291"/>
  <c r="AX217"/>
  <c r="O287"/>
  <c r="AX213"/>
  <c r="AS281"/>
  <c r="BA207"/>
  <c r="AS278"/>
  <c r="BA204"/>
  <c r="AS289"/>
  <c r="BA215"/>
  <c r="E278"/>
  <c r="AW204"/>
  <c r="Y287"/>
  <c r="AY213"/>
  <c r="AI280"/>
  <c r="AZ206"/>
  <c r="E281"/>
  <c r="AW207"/>
  <c r="E274"/>
  <c r="AW200"/>
  <c r="Y281"/>
  <c r="AY207"/>
  <c r="E289"/>
  <c r="AW215"/>
  <c r="Y282"/>
  <c r="AY208"/>
  <c r="AI287"/>
  <c r="AZ213"/>
  <c r="AS280"/>
  <c r="BA206"/>
  <c r="AS285"/>
  <c r="BA211"/>
  <c r="E279"/>
  <c r="AW205"/>
  <c r="AS284"/>
  <c r="BA210"/>
  <c r="AI284"/>
  <c r="AZ210"/>
  <c r="Y279"/>
  <c r="AY205"/>
  <c r="BA292"/>
  <c r="BB144"/>
  <c r="Z264"/>
  <c r="AY227"/>
  <c r="D268"/>
  <c r="BC157"/>
  <c r="M272"/>
  <c r="AX124"/>
  <c r="AR266"/>
  <c r="BG155"/>
  <c r="N268"/>
  <c r="BD157"/>
  <c r="E277"/>
  <c r="AW203"/>
  <c r="AH268"/>
  <c r="BF157"/>
  <c r="Y285"/>
  <c r="AY211"/>
  <c r="E275"/>
  <c r="AW201"/>
  <c r="O289"/>
  <c r="AX215"/>
  <c r="AG292"/>
  <c r="AZ144"/>
  <c r="AI286"/>
  <c r="AZ212"/>
  <c r="BB270"/>
  <c r="BH159"/>
  <c r="P266"/>
  <c r="AX229"/>
  <c r="BD268"/>
  <c r="BE268"/>
  <c r="AR310"/>
  <c r="AS310"/>
  <c r="AU310"/>
  <c r="BB231"/>
  <c r="BC290"/>
  <c r="BB216"/>
  <c r="Z267"/>
  <c r="AY230"/>
  <c r="O275"/>
  <c r="AX201"/>
  <c r="O286"/>
  <c r="AX212"/>
  <c r="AS286"/>
  <c r="BA212"/>
  <c r="Y284"/>
  <c r="AY210"/>
  <c r="O282"/>
  <c r="AX208"/>
  <c r="C292"/>
  <c r="AW144"/>
  <c r="M292"/>
  <c r="AX144"/>
  <c r="AS282"/>
  <c r="BA208"/>
  <c r="Y9" i="3"/>
  <c r="E276" i="2"/>
  <c r="AW202"/>
  <c r="W264"/>
  <c r="AY116"/>
  <c r="AJ265"/>
  <c r="AZ228"/>
  <c r="S260" i="1"/>
  <c r="R60" i="2"/>
  <c r="S60"/>
  <c r="T259" i="1"/>
  <c r="F267" i="2"/>
  <c r="AW230"/>
  <c r="AJ267"/>
  <c r="AZ230"/>
  <c r="AM80"/>
  <c r="AS287"/>
  <c r="BA213"/>
  <c r="E287"/>
  <c r="AW213"/>
  <c r="AS275"/>
  <c r="BA201"/>
  <c r="Y274"/>
  <c r="AY200"/>
  <c r="AI275"/>
  <c r="AZ201"/>
  <c r="AI274"/>
  <c r="AZ200"/>
  <c r="AI279"/>
  <c r="AZ205"/>
  <c r="O290"/>
  <c r="AX216"/>
  <c r="E285"/>
  <c r="AW211"/>
  <c r="AS277"/>
  <c r="BA203"/>
  <c r="Y283"/>
  <c r="AY209"/>
  <c r="O277"/>
  <c r="AX203"/>
  <c r="Y280"/>
  <c r="AY206"/>
  <c r="E286"/>
  <c r="AW212"/>
  <c r="Y277"/>
  <c r="AY203"/>
  <c r="Y278"/>
  <c r="AY204"/>
  <c r="X268"/>
  <c r="BE157"/>
  <c r="AD287" i="1"/>
  <c r="AT265" i="2"/>
  <c r="BA228"/>
  <c r="AS274"/>
  <c r="BA200"/>
  <c r="AI285"/>
  <c r="AZ211"/>
  <c r="AI278"/>
  <c r="AZ204"/>
  <c r="O276"/>
  <c r="AX202"/>
  <c r="W292"/>
  <c r="AY144"/>
  <c r="AQ292"/>
  <c r="BA144"/>
  <c r="O283"/>
  <c r="AX209"/>
  <c r="Y291"/>
  <c r="AY217"/>
  <c r="W268"/>
  <c r="AY120"/>
  <c r="X264"/>
  <c r="BE153"/>
  <c r="C268"/>
  <c r="AW120"/>
  <c r="AQ264"/>
  <c r="BA116"/>
  <c r="AH265"/>
  <c r="BF154"/>
  <c r="M268"/>
  <c r="AX120"/>
  <c r="AQ266"/>
  <c r="BA118"/>
  <c r="BC289"/>
  <c r="BB215"/>
  <c r="AR265"/>
  <c r="BG154"/>
  <c r="BG267"/>
  <c r="AM227"/>
  <c r="R83"/>
  <c r="AL83"/>
  <c r="X10" i="3"/>
  <c r="R14" i="2"/>
  <c r="AQ311"/>
  <c r="Q209" i="1"/>
  <c r="AU217" i="2"/>
  <c r="AT218"/>
  <c r="AS218"/>
  <c r="AR218"/>
  <c r="AM229"/>
  <c r="AG81"/>
  <c r="S81"/>
  <c r="AB81"/>
  <c r="E193"/>
  <c r="G217"/>
  <c r="F193"/>
  <c r="M194"/>
  <c r="L194"/>
  <c r="AC198"/>
  <c r="W195"/>
  <c r="AL192"/>
  <c r="AK192"/>
  <c r="AB198"/>
  <c r="AD283" i="1"/>
  <c r="X290"/>
  <c r="AG290"/>
  <c r="X17" i="3"/>
  <c r="P282" i="1"/>
  <c r="AH282"/>
  <c r="E194" i="2"/>
  <c r="D194"/>
  <c r="AH288" i="1"/>
  <c r="U190" i="2"/>
  <c r="AK190"/>
  <c r="AG286" i="1"/>
  <c r="T190" i="2"/>
  <c r="AJ190"/>
  <c r="X284" i="1"/>
  <c r="Q77"/>
  <c r="H15" i="2"/>
  <c r="H85"/>
  <c r="H78" i="1"/>
  <c r="H211"/>
  <c r="AD284"/>
  <c r="O284"/>
  <c r="I13" i="2"/>
  <c r="S12"/>
  <c r="AC191"/>
  <c r="AD191"/>
  <c r="AE289" i="1"/>
  <c r="AE308"/>
  <c r="R72" i="2"/>
  <c r="AG283" i="1"/>
  <c r="AG288"/>
  <c r="AE288"/>
  <c r="AZ160" i="2"/>
  <c r="BA160"/>
  <c r="AY161"/>
  <c r="N282" i="1"/>
  <c r="W282"/>
  <c r="W9" i="3"/>
  <c r="AE283" i="1"/>
  <c r="AG282"/>
  <c r="AD282"/>
  <c r="AE197" i="2"/>
  <c r="W198"/>
  <c r="AG285" i="1"/>
  <c r="AD289"/>
  <c r="AE284"/>
  <c r="AH286"/>
  <c r="AF285"/>
  <c r="AF284"/>
  <c r="G198" i="2"/>
  <c r="O192"/>
  <c r="G216"/>
  <c r="AE290" i="1"/>
  <c r="AG309"/>
  <c r="AF289"/>
  <c r="AF283"/>
  <c r="AD286"/>
  <c r="AD308"/>
  <c r="AF288"/>
  <c r="L310"/>
  <c r="U310"/>
  <c r="U37" i="3"/>
  <c r="W194" i="2"/>
  <c r="O310" i="1"/>
  <c r="X310"/>
  <c r="X37" i="3"/>
  <c r="P310" i="1"/>
  <c r="Y310"/>
  <c r="Y37" i="3"/>
  <c r="G197" i="2"/>
  <c r="W193"/>
  <c r="N310" i="1"/>
  <c r="W310"/>
  <c r="W37" i="3"/>
  <c r="O198" i="2"/>
  <c r="AE192"/>
  <c r="G191"/>
  <c r="AH285" i="1"/>
  <c r="AE286"/>
  <c r="AH284"/>
  <c r="M310"/>
  <c r="V310"/>
  <c r="V37" i="3"/>
  <c r="AF290" i="1"/>
  <c r="AG308"/>
  <c r="G192" i="2"/>
  <c r="W192"/>
  <c r="G196"/>
  <c r="AM216"/>
  <c r="AD218"/>
  <c r="AB218"/>
  <c r="AC218"/>
  <c r="G195"/>
  <c r="AM196"/>
  <c r="AM195"/>
  <c r="O191"/>
  <c r="AE190"/>
  <c r="AM197"/>
  <c r="AE196"/>
  <c r="O197"/>
  <c r="O196"/>
  <c r="AE216"/>
  <c r="O193"/>
  <c r="AL218"/>
  <c r="AJ218"/>
  <c r="AK218"/>
  <c r="G190"/>
  <c r="W191"/>
  <c r="W197"/>
  <c r="AM194"/>
  <c r="T218"/>
  <c r="V218"/>
  <c r="U218"/>
  <c r="AE195"/>
  <c r="AE193"/>
  <c r="AM198"/>
  <c r="AM193"/>
  <c r="W216"/>
  <c r="O195"/>
  <c r="N218"/>
  <c r="L218"/>
  <c r="M218"/>
  <c r="F218"/>
  <c r="D218"/>
  <c r="E218"/>
  <c r="AE194"/>
  <c r="AM191"/>
  <c r="W196"/>
  <c r="N271" i="1"/>
  <c r="T270"/>
  <c r="M71" i="2"/>
  <c r="S71"/>
  <c r="H261" i="1"/>
  <c r="H62" i="2"/>
  <c r="AA310"/>
  <c r="K309"/>
  <c r="C255" i="1"/>
  <c r="I255"/>
  <c r="C55" i="2"/>
  <c r="I55"/>
  <c r="AC80"/>
  <c r="Z80"/>
  <c r="W80"/>
  <c r="AA80"/>
  <c r="Y80"/>
  <c r="X80"/>
  <c r="AI310"/>
  <c r="C83"/>
  <c r="I83"/>
  <c r="S309"/>
  <c r="O82"/>
  <c r="AI82"/>
  <c r="C309"/>
  <c r="M82"/>
  <c r="G15"/>
  <c r="G85"/>
  <c r="G210" i="1"/>
  <c r="E15" i="2"/>
  <c r="E85"/>
  <c r="E210" i="1"/>
  <c r="D14" i="2"/>
  <c r="D84"/>
  <c r="D209" i="1"/>
  <c r="F15" i="2"/>
  <c r="F85"/>
  <c r="F210" i="1"/>
  <c r="O13" i="2"/>
  <c r="N208" i="1"/>
  <c r="C14" i="2"/>
  <c r="C209" i="1"/>
  <c r="C77"/>
  <c r="L76"/>
  <c r="Q14" i="2"/>
  <c r="Q84"/>
  <c r="AK84"/>
  <c r="P209" i="1"/>
  <c r="O14" i="2"/>
  <c r="N209" i="1"/>
  <c r="N13" i="2"/>
  <c r="M208" i="1"/>
  <c r="P14" i="2"/>
  <c r="P84"/>
  <c r="AJ84"/>
  <c r="O209" i="1"/>
  <c r="M13" i="2"/>
  <c r="L208" i="1"/>
  <c r="AE231" i="2"/>
  <c r="G231"/>
  <c r="AM231"/>
  <c r="N47" i="4"/>
  <c r="W46"/>
  <c r="D15" i="3"/>
  <c r="R47" i="4"/>
  <c r="AA46"/>
  <c r="P47"/>
  <c r="Y46"/>
  <c r="F15" i="3"/>
  <c r="X46" i="4"/>
  <c r="E15" i="3"/>
  <c r="O47" i="4"/>
  <c r="Z46"/>
  <c r="G15" i="3"/>
  <c r="Q47" i="4"/>
  <c r="V46"/>
  <c r="C15" i="3"/>
  <c r="M47" i="4"/>
  <c r="O231" i="2"/>
  <c r="W231"/>
  <c r="R270"/>
  <c r="AB270"/>
  <c r="AL270"/>
  <c r="AV270"/>
  <c r="BF270"/>
  <c r="F312"/>
  <c r="N312"/>
  <c r="V312"/>
  <c r="AD312"/>
  <c r="AL312"/>
  <c r="AT312"/>
  <c r="C644" i="1"/>
  <c r="AS233" i="2"/>
  <c r="AK232"/>
  <c r="U232"/>
  <c r="M232"/>
  <c r="AC232"/>
  <c r="E232"/>
  <c r="Q12" i="3"/>
  <c r="AI12"/>
  <c r="D644" i="1"/>
  <c r="AT233" i="2"/>
  <c r="F232"/>
  <c r="N232"/>
  <c r="V232"/>
  <c r="AD232"/>
  <c r="AL232"/>
  <c r="P159"/>
  <c r="Q159"/>
  <c r="O160"/>
  <c r="AH159"/>
  <c r="AI159"/>
  <c r="AG160"/>
  <c r="Y159"/>
  <c r="Z159"/>
  <c r="X160"/>
  <c r="AQ159"/>
  <c r="AR159"/>
  <c r="AP160"/>
  <c r="G159"/>
  <c r="H159"/>
  <c r="F160"/>
  <c r="AH191"/>
  <c r="AP191"/>
  <c r="AP228"/>
  <c r="Z228"/>
  <c r="AH193"/>
  <c r="AP193"/>
  <c r="AP230"/>
  <c r="Z230"/>
  <c r="AH195"/>
  <c r="AP195"/>
  <c r="AP232"/>
  <c r="Z232"/>
  <c r="Z234"/>
  <c r="AH197"/>
  <c r="AP197"/>
  <c r="AP234"/>
  <c r="Z236"/>
  <c r="AH199"/>
  <c r="AP199"/>
  <c r="AP236"/>
  <c r="Z238"/>
  <c r="AH201"/>
  <c r="AP201"/>
  <c r="AP238"/>
  <c r="Z240"/>
  <c r="AH203"/>
  <c r="AP203"/>
  <c r="AP240"/>
  <c r="AH226"/>
  <c r="Z242"/>
  <c r="AH205"/>
  <c r="AP205"/>
  <c r="AP242"/>
  <c r="Z244"/>
  <c r="AH207"/>
  <c r="AP207"/>
  <c r="AP244"/>
  <c r="Z246"/>
  <c r="AH209"/>
  <c r="AP209"/>
  <c r="AP246"/>
  <c r="Z248"/>
  <c r="AH211"/>
  <c r="AP211"/>
  <c r="AP248"/>
  <c r="Z250"/>
  <c r="AH213"/>
  <c r="AP213"/>
  <c r="AP250"/>
  <c r="Z252"/>
  <c r="AH215"/>
  <c r="AP215"/>
  <c r="AP252"/>
  <c r="Z229"/>
  <c r="AH192"/>
  <c r="AP192"/>
  <c r="AP229"/>
  <c r="Z231"/>
  <c r="AH194"/>
  <c r="AP194"/>
  <c r="AP231"/>
  <c r="Z233"/>
  <c r="AH196"/>
  <c r="AP196"/>
  <c r="AP233"/>
  <c r="Z235"/>
  <c r="AH198"/>
  <c r="AP198"/>
  <c r="AP235"/>
  <c r="Z237"/>
  <c r="AH200"/>
  <c r="AP200"/>
  <c r="AP237"/>
  <c r="Z239"/>
  <c r="AH202"/>
  <c r="AP202"/>
  <c r="AP239"/>
  <c r="Z241"/>
  <c r="AH204"/>
  <c r="AP204"/>
  <c r="AP241"/>
  <c r="Z243"/>
  <c r="AH206"/>
  <c r="AP206"/>
  <c r="AP243"/>
  <c r="Z245"/>
  <c r="AH208"/>
  <c r="AP208"/>
  <c r="AP245"/>
  <c r="Z247"/>
  <c r="AH210"/>
  <c r="AP210"/>
  <c r="AP247"/>
  <c r="Z249"/>
  <c r="AH212"/>
  <c r="AP212"/>
  <c r="AP249"/>
  <c r="Z251"/>
  <c r="AH214"/>
  <c r="AP214"/>
  <c r="AP251"/>
  <c r="AH227"/>
  <c r="R253"/>
  <c r="Z216"/>
  <c r="B332"/>
  <c r="J332"/>
  <c r="R332"/>
  <c r="Z332"/>
  <c r="AH332"/>
  <c r="AP332"/>
  <c r="B334"/>
  <c r="J334"/>
  <c r="R334"/>
  <c r="Z334"/>
  <c r="AH334"/>
  <c r="AP334"/>
  <c r="G78" i="1"/>
  <c r="P77"/>
  <c r="E78"/>
  <c r="N77"/>
  <c r="M76"/>
  <c r="D77"/>
  <c r="O77"/>
  <c r="F78"/>
  <c r="K22"/>
  <c r="S23"/>
  <c r="R23"/>
  <c r="H22"/>
  <c r="E19"/>
  <c r="F18"/>
  <c r="H271" i="2"/>
  <c r="L19" i="1"/>
  <c r="N18"/>
  <c r="T23"/>
  <c r="O22"/>
  <c r="Y290" i="2"/>
  <c r="AY216"/>
  <c r="AS271"/>
  <c r="BA197"/>
  <c r="E266"/>
  <c r="G266"/>
  <c r="I266"/>
  <c r="AW192"/>
  <c r="O272"/>
  <c r="AX198"/>
  <c r="Y268"/>
  <c r="Z268"/>
  <c r="AA268"/>
  <c r="N13" i="3"/>
  <c r="AF13"/>
  <c r="AY194" i="2"/>
  <c r="O266"/>
  <c r="Q266"/>
  <c r="M11" i="3"/>
  <c r="AE11"/>
  <c r="AX192" i="2"/>
  <c r="BC291"/>
  <c r="BB217"/>
  <c r="D270"/>
  <c r="BC159"/>
  <c r="X270"/>
  <c r="BE159"/>
  <c r="N270"/>
  <c r="BD159"/>
  <c r="AY231"/>
  <c r="AJ268"/>
  <c r="AZ231"/>
  <c r="AS267"/>
  <c r="AU267"/>
  <c r="P12" i="3"/>
  <c r="AH12"/>
  <c r="BA193" i="2"/>
  <c r="Y271"/>
  <c r="AY197"/>
  <c r="O270"/>
  <c r="AX196"/>
  <c r="AI264"/>
  <c r="AK264"/>
  <c r="AZ190"/>
  <c r="E269"/>
  <c r="AW195"/>
  <c r="AS290"/>
  <c r="BA216"/>
  <c r="E271"/>
  <c r="AW197"/>
  <c r="E272"/>
  <c r="AW198"/>
  <c r="AI271"/>
  <c r="AZ197"/>
  <c r="BB271"/>
  <c r="BH160"/>
  <c r="Y269"/>
  <c r="AY195"/>
  <c r="BD269"/>
  <c r="BE269"/>
  <c r="BB232"/>
  <c r="F268"/>
  <c r="AW231"/>
  <c r="AI268"/>
  <c r="AZ194"/>
  <c r="AI269"/>
  <c r="AZ195"/>
  <c r="AI290"/>
  <c r="AZ216"/>
  <c r="AS270"/>
  <c r="BA196"/>
  <c r="Y272"/>
  <c r="AY198"/>
  <c r="P268"/>
  <c r="AX231"/>
  <c r="Y270"/>
  <c r="AY196"/>
  <c r="AS272"/>
  <c r="BA198"/>
  <c r="Y265"/>
  <c r="AA265"/>
  <c r="AY191"/>
  <c r="O271"/>
  <c r="AX197"/>
  <c r="O265"/>
  <c r="Q265"/>
  <c r="AX191"/>
  <c r="E270"/>
  <c r="AW196"/>
  <c r="E265"/>
  <c r="G265"/>
  <c r="AW191"/>
  <c r="E291"/>
  <c r="AW217"/>
  <c r="AT266"/>
  <c r="BA229"/>
  <c r="AS268"/>
  <c r="BA194"/>
  <c r="Y267"/>
  <c r="AA267"/>
  <c r="N12" i="3"/>
  <c r="AF12"/>
  <c r="AY193" i="2"/>
  <c r="AR270"/>
  <c r="BG159"/>
  <c r="AH270"/>
  <c r="BF159"/>
  <c r="AT268"/>
  <c r="BA231"/>
  <c r="AS265"/>
  <c r="AU265"/>
  <c r="BA191"/>
  <c r="O269"/>
  <c r="AX195"/>
  <c r="AI267"/>
  <c r="AK267"/>
  <c r="AZ193"/>
  <c r="E264"/>
  <c r="G264"/>
  <c r="AW190"/>
  <c r="O267"/>
  <c r="Q267"/>
  <c r="M12" i="3"/>
  <c r="AE12"/>
  <c r="AX193" i="2"/>
  <c r="AI270"/>
  <c r="AZ196"/>
  <c r="AS269"/>
  <c r="BA195"/>
  <c r="Y266"/>
  <c r="AA266"/>
  <c r="AY192"/>
  <c r="AI266"/>
  <c r="AK266"/>
  <c r="O11" i="3"/>
  <c r="AG11"/>
  <c r="AZ192" i="2"/>
  <c r="E290"/>
  <c r="AW216"/>
  <c r="BG268"/>
  <c r="AT264"/>
  <c r="BA227"/>
  <c r="S261" i="1"/>
  <c r="R61" i="2"/>
  <c r="S61"/>
  <c r="T260" i="1"/>
  <c r="R84" i="2"/>
  <c r="R15"/>
  <c r="AQ312"/>
  <c r="Q210" i="1"/>
  <c r="AU233" i="2"/>
  <c r="AG82"/>
  <c r="S82"/>
  <c r="AB82"/>
  <c r="AU218"/>
  <c r="AL84"/>
  <c r="O194"/>
  <c r="G193"/>
  <c r="AM192"/>
  <c r="AE198"/>
  <c r="G194"/>
  <c r="W190"/>
  <c r="AG284" i="1"/>
  <c r="I14" i="2"/>
  <c r="AD310" i="1"/>
  <c r="AM190" i="2"/>
  <c r="AE191"/>
  <c r="S13"/>
  <c r="Q78" i="1"/>
  <c r="H79"/>
  <c r="H212"/>
  <c r="H16" i="2"/>
  <c r="H86"/>
  <c r="AF282" i="1"/>
  <c r="AB308" i="2"/>
  <c r="AC308"/>
  <c r="AE308"/>
  <c r="AH310" i="1"/>
  <c r="AZ161" i="2"/>
  <c r="BA161"/>
  <c r="AY162"/>
  <c r="L308"/>
  <c r="M308"/>
  <c r="O308"/>
  <c r="S266"/>
  <c r="AG310" i="1"/>
  <c r="AU268" i="2"/>
  <c r="P13" i="3"/>
  <c r="AH13"/>
  <c r="AM266" i="2"/>
  <c r="AM218"/>
  <c r="AE310" i="1"/>
  <c r="AF310"/>
  <c r="D307" i="2"/>
  <c r="E307"/>
  <c r="G307"/>
  <c r="I265"/>
  <c r="L10" i="3"/>
  <c r="AD10"/>
  <c r="AK268" i="2"/>
  <c r="O13" i="3"/>
  <c r="AG13"/>
  <c r="W218" i="2"/>
  <c r="O12" i="3"/>
  <c r="AG12"/>
  <c r="AM267" i="2"/>
  <c r="AB309"/>
  <c r="AC309"/>
  <c r="AE309"/>
  <c r="P10" i="3"/>
  <c r="AH10"/>
  <c r="AW265" i="2"/>
  <c r="AJ307"/>
  <c r="AK307"/>
  <c r="AM307"/>
  <c r="O218"/>
  <c r="N10" i="3"/>
  <c r="AF10"/>
  <c r="AC265" i="2"/>
  <c r="T307"/>
  <c r="U307"/>
  <c r="W307"/>
  <c r="AE218"/>
  <c r="N11" i="3"/>
  <c r="AF11"/>
  <c r="AC266" i="2"/>
  <c r="T308"/>
  <c r="U308"/>
  <c r="W308"/>
  <c r="L9" i="3"/>
  <c r="AD9"/>
  <c r="I264" i="2"/>
  <c r="D306"/>
  <c r="E306"/>
  <c r="G306"/>
  <c r="O9" i="3"/>
  <c r="AG9"/>
  <c r="AM264" i="2"/>
  <c r="AB306"/>
  <c r="AC306"/>
  <c r="AE306"/>
  <c r="L11" i="3"/>
  <c r="AD11"/>
  <c r="G218" i="2"/>
  <c r="M10" i="3"/>
  <c r="AE10"/>
  <c r="S265" i="2"/>
  <c r="L307"/>
  <c r="M307"/>
  <c r="O307"/>
  <c r="T271" i="1"/>
  <c r="M72" i="2"/>
  <c r="S72"/>
  <c r="H262" i="1"/>
  <c r="H63" i="2"/>
  <c r="X81"/>
  <c r="AM81"/>
  <c r="C256" i="1"/>
  <c r="I256"/>
  <c r="C56" i="2"/>
  <c r="I56"/>
  <c r="AE232"/>
  <c r="AA311"/>
  <c r="AI311"/>
  <c r="AC81"/>
  <c r="AA81"/>
  <c r="Y81"/>
  <c r="Z81"/>
  <c r="W81"/>
  <c r="C310"/>
  <c r="M83"/>
  <c r="K310"/>
  <c r="N83"/>
  <c r="AH83"/>
  <c r="S311"/>
  <c r="O84"/>
  <c r="AI84"/>
  <c r="C84"/>
  <c r="I84"/>
  <c r="S310"/>
  <c r="O83"/>
  <c r="AI83"/>
  <c r="N14"/>
  <c r="M209" i="1"/>
  <c r="E16" i="2"/>
  <c r="E86"/>
  <c r="E211" i="1"/>
  <c r="G16" i="2"/>
  <c r="G86"/>
  <c r="G211" i="1"/>
  <c r="F16" i="2"/>
  <c r="F86"/>
  <c r="F211" i="1"/>
  <c r="D15" i="2"/>
  <c r="D85"/>
  <c r="D210" i="1"/>
  <c r="O15" i="2"/>
  <c r="N210" i="1"/>
  <c r="Q15" i="2"/>
  <c r="P210" i="1"/>
  <c r="C15" i="2"/>
  <c r="C210" i="1"/>
  <c r="C78"/>
  <c r="L77"/>
  <c r="P15" i="2"/>
  <c r="O210" i="1"/>
  <c r="M14" i="2"/>
  <c r="L209" i="1"/>
  <c r="P48" i="4"/>
  <c r="Y47"/>
  <c r="F16" i="3"/>
  <c r="R48" i="4"/>
  <c r="AA47"/>
  <c r="N48"/>
  <c r="W47"/>
  <c r="D16" i="3"/>
  <c r="V47" i="4"/>
  <c r="C16" i="3"/>
  <c r="M48" i="4"/>
  <c r="Z47"/>
  <c r="G16" i="3"/>
  <c r="Q48" i="4"/>
  <c r="O48"/>
  <c r="X47"/>
  <c r="E16" i="3"/>
  <c r="R271" i="2"/>
  <c r="AB271"/>
  <c r="AL271"/>
  <c r="AV271"/>
  <c r="BF271"/>
  <c r="F313"/>
  <c r="N313"/>
  <c r="V313"/>
  <c r="AD313"/>
  <c r="AL313"/>
  <c r="AT313"/>
  <c r="D645" i="1"/>
  <c r="AT234" i="2"/>
  <c r="F233"/>
  <c r="V233"/>
  <c r="AD233"/>
  <c r="N233"/>
  <c r="AL233"/>
  <c r="AM232"/>
  <c r="G160"/>
  <c r="H160"/>
  <c r="F161"/>
  <c r="AC267"/>
  <c r="T309"/>
  <c r="AQ160"/>
  <c r="AR160"/>
  <c r="AP161"/>
  <c r="Y160"/>
  <c r="Z160"/>
  <c r="X161"/>
  <c r="AH160"/>
  <c r="AI160"/>
  <c r="AG161"/>
  <c r="P160"/>
  <c r="Q160"/>
  <c r="O161"/>
  <c r="S267"/>
  <c r="L309"/>
  <c r="C645" i="1"/>
  <c r="AS234" i="2"/>
  <c r="AC233"/>
  <c r="M233"/>
  <c r="AK233"/>
  <c r="E233"/>
  <c r="U233"/>
  <c r="G232"/>
  <c r="O232"/>
  <c r="W232"/>
  <c r="AH232"/>
  <c r="AH230"/>
  <c r="AH228"/>
  <c r="Z253"/>
  <c r="AH216"/>
  <c r="AP216"/>
  <c r="AP253"/>
  <c r="AH251"/>
  <c r="AH249"/>
  <c r="AH247"/>
  <c r="AH245"/>
  <c r="AH243"/>
  <c r="AH241"/>
  <c r="AH239"/>
  <c r="AH237"/>
  <c r="AH235"/>
  <c r="AH233"/>
  <c r="AH231"/>
  <c r="AH229"/>
  <c r="AH252"/>
  <c r="AH250"/>
  <c r="AH248"/>
  <c r="AH246"/>
  <c r="AH244"/>
  <c r="AH242"/>
  <c r="AH240"/>
  <c r="AH238"/>
  <c r="AH236"/>
  <c r="AH234"/>
  <c r="O78" i="1"/>
  <c r="F79"/>
  <c r="M77"/>
  <c r="D78"/>
  <c r="N78"/>
  <c r="E79"/>
  <c r="P78"/>
  <c r="G79"/>
  <c r="S24"/>
  <c r="K23"/>
  <c r="O23"/>
  <c r="T24"/>
  <c r="L20"/>
  <c r="N19"/>
  <c r="E20"/>
  <c r="F19"/>
  <c r="H272" i="2"/>
  <c r="R24" i="1"/>
  <c r="H23"/>
  <c r="BD270" i="2"/>
  <c r="BE270"/>
  <c r="AR312"/>
  <c r="BB233"/>
  <c r="Z269"/>
  <c r="AA269"/>
  <c r="N14" i="3"/>
  <c r="AF14"/>
  <c r="AY232" i="2"/>
  <c r="N271"/>
  <c r="BD160"/>
  <c r="X271"/>
  <c r="BE160"/>
  <c r="AJ309"/>
  <c r="E292"/>
  <c r="AW218"/>
  <c r="AS292"/>
  <c r="BA218"/>
  <c r="BB272"/>
  <c r="BH161"/>
  <c r="AI265"/>
  <c r="AK265"/>
  <c r="AM265"/>
  <c r="AZ191"/>
  <c r="AS266"/>
  <c r="AU266"/>
  <c r="P11" i="3"/>
  <c r="AH11"/>
  <c r="BA192" i="2"/>
  <c r="BC292"/>
  <c r="BB218"/>
  <c r="AT269"/>
  <c r="BA232"/>
  <c r="AI272"/>
  <c r="AZ198"/>
  <c r="P269"/>
  <c r="AX232"/>
  <c r="AW267"/>
  <c r="AJ269"/>
  <c r="AK269"/>
  <c r="O14" i="3"/>
  <c r="AG14"/>
  <c r="AZ232" i="2"/>
  <c r="D308"/>
  <c r="E308"/>
  <c r="G308"/>
  <c r="AI292"/>
  <c r="AZ218"/>
  <c r="O292"/>
  <c r="AX218"/>
  <c r="Y292"/>
  <c r="AY218"/>
  <c r="AS264"/>
  <c r="AU264"/>
  <c r="P9" i="3"/>
  <c r="AH9"/>
  <c r="BA190" i="2"/>
  <c r="Y264"/>
  <c r="AA264"/>
  <c r="N9" i="3"/>
  <c r="AF9"/>
  <c r="AY190" i="2"/>
  <c r="E267"/>
  <c r="G267"/>
  <c r="AW193"/>
  <c r="S262" i="1"/>
  <c r="R62" i="2"/>
  <c r="S62"/>
  <c r="T261" i="1"/>
  <c r="AR311" i="2"/>
  <c r="AS311"/>
  <c r="AU311"/>
  <c r="BG269"/>
  <c r="F269"/>
  <c r="AW232"/>
  <c r="AH271"/>
  <c r="BF160"/>
  <c r="AR271"/>
  <c r="BG160"/>
  <c r="D271"/>
  <c r="BC160"/>
  <c r="E268"/>
  <c r="G268"/>
  <c r="L13" i="3"/>
  <c r="AD13"/>
  <c r="AW194" i="2"/>
  <c r="O268"/>
  <c r="Q268"/>
  <c r="M13" i="3"/>
  <c r="AE13"/>
  <c r="AX194" i="2"/>
  <c r="I267"/>
  <c r="R85"/>
  <c r="AS312"/>
  <c r="AU312"/>
  <c r="R16"/>
  <c r="AQ313"/>
  <c r="Q211" i="1"/>
  <c r="AJ308" i="2"/>
  <c r="AK308"/>
  <c r="AM308"/>
  <c r="BG270"/>
  <c r="AU234"/>
  <c r="AW266"/>
  <c r="AG83"/>
  <c r="S83"/>
  <c r="AB83"/>
  <c r="AL85"/>
  <c r="AJ306"/>
  <c r="AK306"/>
  <c r="AM306"/>
  <c r="AW264"/>
  <c r="Q79" i="1"/>
  <c r="H80"/>
  <c r="H213"/>
  <c r="H17" i="2"/>
  <c r="H87"/>
  <c r="I15"/>
  <c r="S14"/>
  <c r="S268"/>
  <c r="AC268"/>
  <c r="T310"/>
  <c r="U310"/>
  <c r="W310"/>
  <c r="AW268"/>
  <c r="AZ162"/>
  <c r="BA162"/>
  <c r="AY163"/>
  <c r="AJ310"/>
  <c r="AK310"/>
  <c r="AM310"/>
  <c r="AM268"/>
  <c r="AB310"/>
  <c r="AC310"/>
  <c r="AE310"/>
  <c r="AM269"/>
  <c r="L310"/>
  <c r="M310"/>
  <c r="O310"/>
  <c r="I268"/>
  <c r="D310"/>
  <c r="E310"/>
  <c r="G310"/>
  <c r="H263" i="1"/>
  <c r="H64" i="2"/>
  <c r="AB311"/>
  <c r="AC311"/>
  <c r="Y82"/>
  <c r="AM82"/>
  <c r="C257" i="1"/>
  <c r="I257"/>
  <c r="C57" i="2"/>
  <c r="I57"/>
  <c r="W233"/>
  <c r="AE233"/>
  <c r="AC82"/>
  <c r="Z82"/>
  <c r="AA82"/>
  <c r="X82"/>
  <c r="W82"/>
  <c r="C311"/>
  <c r="M84"/>
  <c r="AA312"/>
  <c r="P85"/>
  <c r="AJ85"/>
  <c r="C85"/>
  <c r="I85"/>
  <c r="AI312"/>
  <c r="Q85"/>
  <c r="AK85"/>
  <c r="S312"/>
  <c r="O85"/>
  <c r="AI85"/>
  <c r="K311"/>
  <c r="N84"/>
  <c r="AH84"/>
  <c r="E17"/>
  <c r="E87"/>
  <c r="E212" i="1"/>
  <c r="F17" i="2"/>
  <c r="F87"/>
  <c r="F212" i="1"/>
  <c r="Q16" i="2"/>
  <c r="Q86"/>
  <c r="AK86"/>
  <c r="P211" i="1"/>
  <c r="O16" i="2"/>
  <c r="O86"/>
  <c r="AI86"/>
  <c r="N211" i="1"/>
  <c r="N15" i="2"/>
  <c r="N85"/>
  <c r="AH85"/>
  <c r="M210" i="1"/>
  <c r="P16" i="2"/>
  <c r="P86"/>
  <c r="AJ86"/>
  <c r="O211" i="1"/>
  <c r="C16" i="2"/>
  <c r="C211" i="1"/>
  <c r="L78"/>
  <c r="C79"/>
  <c r="G17" i="2"/>
  <c r="G87"/>
  <c r="G212" i="1"/>
  <c r="D16" i="2"/>
  <c r="D86"/>
  <c r="D211" i="1"/>
  <c r="M15" i="2"/>
  <c r="L210" i="1"/>
  <c r="G233" i="2"/>
  <c r="O49" i="4"/>
  <c r="X48"/>
  <c r="E17" i="3"/>
  <c r="N49" i="4"/>
  <c r="W48"/>
  <c r="D17" i="3"/>
  <c r="R49" i="4"/>
  <c r="AA48"/>
  <c r="P49"/>
  <c r="Y48"/>
  <c r="F17" i="3"/>
  <c r="Q49" i="4"/>
  <c r="Z48"/>
  <c r="G17" i="3"/>
  <c r="M49" i="4"/>
  <c r="V48"/>
  <c r="C17" i="3"/>
  <c r="Q15"/>
  <c r="AI15"/>
  <c r="AM233" i="2"/>
  <c r="O233"/>
  <c r="R272"/>
  <c r="AB272"/>
  <c r="AL272"/>
  <c r="AV272"/>
  <c r="BF272"/>
  <c r="F314"/>
  <c r="N314"/>
  <c r="V314"/>
  <c r="AD314"/>
  <c r="AL314"/>
  <c r="AT314"/>
  <c r="AC269"/>
  <c r="T311"/>
  <c r="U311"/>
  <c r="W311"/>
  <c r="G269"/>
  <c r="L14" i="3"/>
  <c r="AD14"/>
  <c r="M309" i="2"/>
  <c r="P161"/>
  <c r="Q161"/>
  <c r="O162"/>
  <c r="AH161"/>
  <c r="AI161"/>
  <c r="AG162"/>
  <c r="Y161"/>
  <c r="Z161"/>
  <c r="X162"/>
  <c r="AQ161"/>
  <c r="AR161"/>
  <c r="AP162"/>
  <c r="U309"/>
  <c r="G161"/>
  <c r="H161"/>
  <c r="F162"/>
  <c r="AU269"/>
  <c r="P14" i="3"/>
  <c r="AH14"/>
  <c r="Q269" i="2"/>
  <c r="M14" i="3"/>
  <c r="AE14"/>
  <c r="C646" i="1"/>
  <c r="AS235" i="2"/>
  <c r="AK234"/>
  <c r="AC234"/>
  <c r="U234"/>
  <c r="E234"/>
  <c r="M234"/>
  <c r="Q14" i="3"/>
  <c r="AI14"/>
  <c r="AK309" i="2"/>
  <c r="D646" i="1"/>
  <c r="AT235" i="2"/>
  <c r="N234"/>
  <c r="F234"/>
  <c r="V234"/>
  <c r="AD234"/>
  <c r="AL234"/>
  <c r="AH253"/>
  <c r="G80" i="1"/>
  <c r="P79"/>
  <c r="E80"/>
  <c r="N79"/>
  <c r="M78"/>
  <c r="D79"/>
  <c r="O79"/>
  <c r="F80"/>
  <c r="T25"/>
  <c r="O24"/>
  <c r="R25"/>
  <c r="H24"/>
  <c r="E21"/>
  <c r="F20"/>
  <c r="H273" i="2"/>
  <c r="L21" i="1"/>
  <c r="N20"/>
  <c r="K24"/>
  <c r="S25"/>
  <c r="AR272" i="2"/>
  <c r="BG161"/>
  <c r="Z270"/>
  <c r="AA270"/>
  <c r="N15" i="3"/>
  <c r="AF15"/>
  <c r="AY233" i="2"/>
  <c r="S263" i="1"/>
  <c r="R63" i="2"/>
  <c r="S63"/>
  <c r="T262" i="1"/>
  <c r="D272" i="2"/>
  <c r="BC161"/>
  <c r="P270"/>
  <c r="Q270"/>
  <c r="M15" i="3"/>
  <c r="AE15"/>
  <c r="AX233" i="2"/>
  <c r="AB307"/>
  <c r="AC307"/>
  <c r="AE307"/>
  <c r="T306"/>
  <c r="U306"/>
  <c r="W306"/>
  <c r="AH272"/>
  <c r="BF161"/>
  <c r="F270"/>
  <c r="G270"/>
  <c r="L15" i="3"/>
  <c r="AD15"/>
  <c r="AW233" i="2"/>
  <c r="X272"/>
  <c r="BE161"/>
  <c r="N272"/>
  <c r="BD161"/>
  <c r="AT270"/>
  <c r="AU270"/>
  <c r="P15" i="3"/>
  <c r="AH15"/>
  <c r="BA233" i="2"/>
  <c r="AC264"/>
  <c r="L12" i="3"/>
  <c r="AD12"/>
  <c r="D309" i="2"/>
  <c r="E309"/>
  <c r="G309"/>
  <c r="AJ270"/>
  <c r="AK270"/>
  <c r="O15" i="3"/>
  <c r="AG15"/>
  <c r="AZ233" i="2"/>
  <c r="BB273"/>
  <c r="BH162"/>
  <c r="O10" i="3"/>
  <c r="AG10"/>
  <c r="BD271" i="2"/>
  <c r="BE271"/>
  <c r="BB234"/>
  <c r="R86"/>
  <c r="AL86"/>
  <c r="R17"/>
  <c r="R87"/>
  <c r="Q212" i="1"/>
  <c r="AU235" i="2"/>
  <c r="AG84"/>
  <c r="S84"/>
  <c r="AB84"/>
  <c r="I16"/>
  <c r="Q80" i="1"/>
  <c r="H18" i="2"/>
  <c r="H88"/>
  <c r="H81" i="1"/>
  <c r="H214"/>
  <c r="S15" i="2"/>
  <c r="AZ163"/>
  <c r="BA163"/>
  <c r="AY164"/>
  <c r="H264" i="1"/>
  <c r="H65" i="2"/>
  <c r="AB312"/>
  <c r="AC312"/>
  <c r="AE312"/>
  <c r="AC270"/>
  <c r="Y83"/>
  <c r="AM83"/>
  <c r="AM270"/>
  <c r="T312"/>
  <c r="U312"/>
  <c r="W312"/>
  <c r="C258" i="1"/>
  <c r="I258"/>
  <c r="C58" i="2"/>
  <c r="I58"/>
  <c r="S313"/>
  <c r="K312"/>
  <c r="X83"/>
  <c r="AC83"/>
  <c r="AA83"/>
  <c r="Z83"/>
  <c r="W83"/>
  <c r="D312"/>
  <c r="AA313"/>
  <c r="AI313"/>
  <c r="C312"/>
  <c r="M85"/>
  <c r="C86"/>
  <c r="I86"/>
  <c r="P17"/>
  <c r="O212" i="1"/>
  <c r="G18" i="2"/>
  <c r="G88"/>
  <c r="G213" i="1"/>
  <c r="F18" i="2"/>
  <c r="F88"/>
  <c r="F213" i="1"/>
  <c r="D17" i="2"/>
  <c r="D87"/>
  <c r="D212" i="1"/>
  <c r="O17" i="2"/>
  <c r="N212" i="1"/>
  <c r="Q17" i="2"/>
  <c r="Q87"/>
  <c r="AK87"/>
  <c r="P212" i="1"/>
  <c r="M16" i="2"/>
  <c r="L211" i="1"/>
  <c r="N16" i="2"/>
  <c r="M211" i="1"/>
  <c r="E18" i="2"/>
  <c r="E88"/>
  <c r="E213" i="1"/>
  <c r="C17" i="2"/>
  <c r="C212" i="1"/>
  <c r="L79"/>
  <c r="C80"/>
  <c r="S270" i="2"/>
  <c r="AJ312"/>
  <c r="AK312"/>
  <c r="AM312"/>
  <c r="AW270"/>
  <c r="L312"/>
  <c r="G234"/>
  <c r="M50" i="4"/>
  <c r="V49"/>
  <c r="C18" i="3"/>
  <c r="Q50" i="4"/>
  <c r="Z49"/>
  <c r="G18" i="3"/>
  <c r="P50" i="4"/>
  <c r="Y49"/>
  <c r="F18" i="3"/>
  <c r="R50" i="4"/>
  <c r="AA49"/>
  <c r="H18" i="3"/>
  <c r="N50" i="4"/>
  <c r="W49"/>
  <c r="D18" i="3"/>
  <c r="O50" i="4"/>
  <c r="X49"/>
  <c r="E18" i="3"/>
  <c r="R273" i="2"/>
  <c r="AB273"/>
  <c r="AL273"/>
  <c r="AV273"/>
  <c r="BF273"/>
  <c r="F315"/>
  <c r="N315"/>
  <c r="V315"/>
  <c r="AD315"/>
  <c r="AL315"/>
  <c r="AT315"/>
  <c r="C647" i="1"/>
  <c r="AS236" i="2"/>
  <c r="AK235"/>
  <c r="U235"/>
  <c r="E235"/>
  <c r="AC235"/>
  <c r="M235"/>
  <c r="S269"/>
  <c r="L311"/>
  <c r="AW269"/>
  <c r="AJ311"/>
  <c r="G162"/>
  <c r="H162"/>
  <c r="F163"/>
  <c r="AQ162"/>
  <c r="AR162"/>
  <c r="AP163"/>
  <c r="Y162"/>
  <c r="Z162"/>
  <c r="X163"/>
  <c r="AH162"/>
  <c r="AI162"/>
  <c r="AG163"/>
  <c r="P162"/>
  <c r="Q162"/>
  <c r="O163"/>
  <c r="D311"/>
  <c r="I269"/>
  <c r="AE234"/>
  <c r="O234"/>
  <c r="W234"/>
  <c r="AE311"/>
  <c r="D647" i="1"/>
  <c r="AT236" i="2"/>
  <c r="N235"/>
  <c r="V235"/>
  <c r="F235"/>
  <c r="AD235"/>
  <c r="AL235"/>
  <c r="AM309"/>
  <c r="W309"/>
  <c r="O309"/>
  <c r="AM234"/>
  <c r="O80" i="1"/>
  <c r="F81"/>
  <c r="M79"/>
  <c r="D80"/>
  <c r="N80"/>
  <c r="E81"/>
  <c r="P80"/>
  <c r="G81"/>
  <c r="L22"/>
  <c r="N21"/>
  <c r="E22"/>
  <c r="F21"/>
  <c r="H274" i="2"/>
  <c r="R26" i="1"/>
  <c r="H25"/>
  <c r="O25"/>
  <c r="T26"/>
  <c r="S26"/>
  <c r="K25"/>
  <c r="Z271" i="2"/>
  <c r="AA271"/>
  <c r="N16" i="3"/>
  <c r="AF16"/>
  <c r="AY234" i="2"/>
  <c r="AR273"/>
  <c r="BG162"/>
  <c r="AR313"/>
  <c r="AS313"/>
  <c r="AU313"/>
  <c r="BG271"/>
  <c r="AT271"/>
  <c r="AU271"/>
  <c r="P16" i="3"/>
  <c r="AH16"/>
  <c r="BA234" i="2"/>
  <c r="P271"/>
  <c r="Q271"/>
  <c r="M16" i="3"/>
  <c r="AE16"/>
  <c r="AX234" i="2"/>
  <c r="AH273"/>
  <c r="BF162"/>
  <c r="AJ271"/>
  <c r="AK271"/>
  <c r="O16" i="3"/>
  <c r="AG16"/>
  <c r="AZ234" i="2"/>
  <c r="N273"/>
  <c r="BD162"/>
  <c r="X273"/>
  <c r="BE162"/>
  <c r="D273"/>
  <c r="BC162"/>
  <c r="BB274"/>
  <c r="BH163"/>
  <c r="BD272"/>
  <c r="BE272"/>
  <c r="AR314"/>
  <c r="BB235"/>
  <c r="F271"/>
  <c r="G271"/>
  <c r="L16" i="3"/>
  <c r="AD16"/>
  <c r="AW234" i="2"/>
  <c r="I270"/>
  <c r="S264" i="1"/>
  <c r="R64" i="2"/>
  <c r="S64"/>
  <c r="T263" i="1"/>
  <c r="AQ314" i="2"/>
  <c r="AS314"/>
  <c r="AU314"/>
  <c r="R18"/>
  <c r="AQ315"/>
  <c r="Q213" i="1"/>
  <c r="BG272" i="2"/>
  <c r="AU236"/>
  <c r="AG85"/>
  <c r="S85"/>
  <c r="AB85"/>
  <c r="AL87"/>
  <c r="S16"/>
  <c r="I17"/>
  <c r="Q81" i="1"/>
  <c r="H19" i="2"/>
  <c r="H89"/>
  <c r="H82" i="1"/>
  <c r="H215"/>
  <c r="AZ164" i="2"/>
  <c r="BA164"/>
  <c r="AY165"/>
  <c r="H265" i="1"/>
  <c r="H66" i="2"/>
  <c r="E312"/>
  <c r="G312"/>
  <c r="M312"/>
  <c r="O312"/>
  <c r="X84"/>
  <c r="AM84"/>
  <c r="AI314"/>
  <c r="C259" i="1"/>
  <c r="I259"/>
  <c r="C59" i="2"/>
  <c r="I59"/>
  <c r="W84"/>
  <c r="AC84"/>
  <c r="AA84"/>
  <c r="Z84"/>
  <c r="Y84"/>
  <c r="C87"/>
  <c r="I87"/>
  <c r="K313"/>
  <c r="N86"/>
  <c r="AH86"/>
  <c r="C313"/>
  <c r="M86"/>
  <c r="S314"/>
  <c r="O87"/>
  <c r="AI87"/>
  <c r="AA314"/>
  <c r="P87"/>
  <c r="AJ87"/>
  <c r="Q18"/>
  <c r="P213" i="1"/>
  <c r="P18" i="2"/>
  <c r="P88"/>
  <c r="AJ88"/>
  <c r="O213" i="1"/>
  <c r="G19" i="2"/>
  <c r="G89"/>
  <c r="G214" i="1"/>
  <c r="E19" i="2"/>
  <c r="E89"/>
  <c r="E214" i="1"/>
  <c r="D18" i="2"/>
  <c r="D88"/>
  <c r="D213" i="1"/>
  <c r="F19" i="2"/>
  <c r="F89"/>
  <c r="F214" i="1"/>
  <c r="M17" i="2"/>
  <c r="L212" i="1"/>
  <c r="O18" i="2"/>
  <c r="O88"/>
  <c r="AI88"/>
  <c r="N213" i="1"/>
  <c r="N17" i="2"/>
  <c r="M212" i="1"/>
  <c r="C18" i="2"/>
  <c r="C213" i="1"/>
  <c r="L80"/>
  <c r="C81"/>
  <c r="O51" i="4"/>
  <c r="X50"/>
  <c r="E19" i="3"/>
  <c r="N51" i="4"/>
  <c r="W50"/>
  <c r="D19" i="3"/>
  <c r="R51" i="4"/>
  <c r="AA50"/>
  <c r="H19" i="3"/>
  <c r="P51" i="4"/>
  <c r="Y50"/>
  <c r="F19" i="3"/>
  <c r="Q51" i="4"/>
  <c r="Z50"/>
  <c r="G19" i="3"/>
  <c r="M51" i="4"/>
  <c r="V50"/>
  <c r="C19" i="3"/>
  <c r="Q16"/>
  <c r="AI16"/>
  <c r="P163" i="2"/>
  <c r="Q163"/>
  <c r="O164"/>
  <c r="AH163"/>
  <c r="AI163"/>
  <c r="AG164"/>
  <c r="Y163"/>
  <c r="Z163"/>
  <c r="X164"/>
  <c r="AQ163"/>
  <c r="AR163"/>
  <c r="AP164"/>
  <c r="G163"/>
  <c r="H163"/>
  <c r="F164"/>
  <c r="AK311"/>
  <c r="M311"/>
  <c r="C648" i="1"/>
  <c r="AS237" i="2"/>
  <c r="U236"/>
  <c r="AK236"/>
  <c r="AC236"/>
  <c r="M236"/>
  <c r="E236"/>
  <c r="Q17" i="3"/>
  <c r="AI17"/>
  <c r="AE235" i="2"/>
  <c r="W235"/>
  <c r="F316"/>
  <c r="N316"/>
  <c r="V316"/>
  <c r="AD316"/>
  <c r="AL316"/>
  <c r="AT316"/>
  <c r="R274"/>
  <c r="AB274"/>
  <c r="AL274"/>
  <c r="AV274"/>
  <c r="BF274"/>
  <c r="AW271"/>
  <c r="AJ313"/>
  <c r="AK313"/>
  <c r="AM313"/>
  <c r="D648" i="1"/>
  <c r="AT237" i="2"/>
  <c r="F236"/>
  <c r="N236"/>
  <c r="V236"/>
  <c r="AL236"/>
  <c r="AD236"/>
  <c r="AB313"/>
  <c r="E311"/>
  <c r="G311"/>
  <c r="O235"/>
  <c r="G235"/>
  <c r="AM235"/>
  <c r="G82" i="1"/>
  <c r="P81"/>
  <c r="E82"/>
  <c r="N81"/>
  <c r="M80"/>
  <c r="D81"/>
  <c r="O81"/>
  <c r="F82"/>
  <c r="K26"/>
  <c r="S27"/>
  <c r="R27"/>
  <c r="H26"/>
  <c r="E23"/>
  <c r="F22"/>
  <c r="H275" i="2"/>
  <c r="L23" i="1"/>
  <c r="N22"/>
  <c r="T27"/>
  <c r="O26"/>
  <c r="AR274" i="2"/>
  <c r="BG163"/>
  <c r="S265" i="1"/>
  <c r="R65" i="2"/>
  <c r="S65"/>
  <c r="T264" i="1"/>
  <c r="AT272" i="2"/>
  <c r="AU272"/>
  <c r="P17" i="3"/>
  <c r="AH17"/>
  <c r="BA235" i="2"/>
  <c r="F272"/>
  <c r="G272"/>
  <c r="L17" i="3"/>
  <c r="AD17"/>
  <c r="AW235" i="2"/>
  <c r="AM271"/>
  <c r="I271"/>
  <c r="P272"/>
  <c r="Q272"/>
  <c r="M17" i="3"/>
  <c r="AE17"/>
  <c r="AX235" i="2"/>
  <c r="T313"/>
  <c r="Z272"/>
  <c r="AA272"/>
  <c r="N17" i="3"/>
  <c r="AF17"/>
  <c r="AY235" i="2"/>
  <c r="D274"/>
  <c r="BC163"/>
  <c r="X274"/>
  <c r="BE163"/>
  <c r="N274"/>
  <c r="BD163"/>
  <c r="D313"/>
  <c r="BD273"/>
  <c r="BE273"/>
  <c r="AR315"/>
  <c r="AS315"/>
  <c r="AU315"/>
  <c r="BB236"/>
  <c r="AH274"/>
  <c r="BF163"/>
  <c r="BB275"/>
  <c r="BH164"/>
  <c r="AC271"/>
  <c r="AJ272"/>
  <c r="AK272"/>
  <c r="O17" i="3"/>
  <c r="AG17"/>
  <c r="AZ235" i="2"/>
  <c r="R88"/>
  <c r="R19"/>
  <c r="AQ316"/>
  <c r="Q214" i="1"/>
  <c r="AU237" i="2"/>
  <c r="AG86"/>
  <c r="S86"/>
  <c r="AB86"/>
  <c r="AL88"/>
  <c r="S17"/>
  <c r="Q82" i="1"/>
  <c r="H20" i="2"/>
  <c r="H90"/>
  <c r="H83" i="1"/>
  <c r="H216"/>
  <c r="I18" i="2"/>
  <c r="AZ165"/>
  <c r="BA165"/>
  <c r="AY166"/>
  <c r="H266" i="1"/>
  <c r="H67" i="2"/>
  <c r="AA315"/>
  <c r="W85"/>
  <c r="AM85"/>
  <c r="C260" i="1"/>
  <c r="I260"/>
  <c r="C60" i="2"/>
  <c r="I60"/>
  <c r="S315"/>
  <c r="AC85"/>
  <c r="Y85"/>
  <c r="Z85"/>
  <c r="X85"/>
  <c r="AA85"/>
  <c r="C88"/>
  <c r="I88"/>
  <c r="K314"/>
  <c r="N87"/>
  <c r="AH87"/>
  <c r="C314"/>
  <c r="M87"/>
  <c r="AI315"/>
  <c r="Q88"/>
  <c r="AK88"/>
  <c r="E313"/>
  <c r="G313"/>
  <c r="P19"/>
  <c r="O214" i="1"/>
  <c r="N18" i="2"/>
  <c r="N88"/>
  <c r="AH88"/>
  <c r="M213" i="1"/>
  <c r="E20" i="2"/>
  <c r="E90"/>
  <c r="E215" i="1"/>
  <c r="G20" i="2"/>
  <c r="G90"/>
  <c r="G215" i="1"/>
  <c r="M18" i="2"/>
  <c r="L213" i="1"/>
  <c r="F20" i="2"/>
  <c r="F90"/>
  <c r="F215" i="1"/>
  <c r="D19" i="2"/>
  <c r="D89"/>
  <c r="D214" i="1"/>
  <c r="O19" i="2"/>
  <c r="O89"/>
  <c r="AI89"/>
  <c r="N214" i="1"/>
  <c r="Q19" i="2"/>
  <c r="Q89"/>
  <c r="AK89"/>
  <c r="P214" i="1"/>
  <c r="C19" i="2"/>
  <c r="C214" i="1"/>
  <c r="L81"/>
  <c r="C82"/>
  <c r="M52" i="4"/>
  <c r="V51"/>
  <c r="C20" i="3"/>
  <c r="Q52" i="4"/>
  <c r="Z51"/>
  <c r="G20" i="3"/>
  <c r="P52" i="4"/>
  <c r="Y51"/>
  <c r="F20" i="3"/>
  <c r="R52" i="4"/>
  <c r="AA51"/>
  <c r="H20" i="3"/>
  <c r="N52" i="4"/>
  <c r="W51"/>
  <c r="D20" i="3"/>
  <c r="O52" i="4"/>
  <c r="X51"/>
  <c r="E20" i="3"/>
  <c r="L314" i="2"/>
  <c r="AM272"/>
  <c r="AB314"/>
  <c r="AC314"/>
  <c r="AE314"/>
  <c r="C649" i="1"/>
  <c r="AS238" i="2"/>
  <c r="AC237"/>
  <c r="M237"/>
  <c r="E237"/>
  <c r="AK237"/>
  <c r="U237"/>
  <c r="O311"/>
  <c r="AM311"/>
  <c r="G236"/>
  <c r="R275"/>
  <c r="AB275"/>
  <c r="AL275"/>
  <c r="AV275"/>
  <c r="BF275"/>
  <c r="F317"/>
  <c r="N317"/>
  <c r="V317"/>
  <c r="AD317"/>
  <c r="AL317"/>
  <c r="AT317"/>
  <c r="AW272"/>
  <c r="AJ314"/>
  <c r="AK314"/>
  <c r="AM314"/>
  <c r="D314"/>
  <c r="AC313"/>
  <c r="U313"/>
  <c r="D649" i="1"/>
  <c r="AT238" i="2"/>
  <c r="F237"/>
  <c r="V237"/>
  <c r="AD237"/>
  <c r="N237"/>
  <c r="AL237"/>
  <c r="AC272"/>
  <c r="T314"/>
  <c r="U314"/>
  <c r="W314"/>
  <c r="G164"/>
  <c r="H164"/>
  <c r="F165"/>
  <c r="AQ164"/>
  <c r="AR164"/>
  <c r="AP165"/>
  <c r="Y164"/>
  <c r="Z164"/>
  <c r="X165"/>
  <c r="AH164"/>
  <c r="AI164"/>
  <c r="AG165"/>
  <c r="P164"/>
  <c r="Q164"/>
  <c r="O165"/>
  <c r="S271"/>
  <c r="L313"/>
  <c r="AE236"/>
  <c r="O236"/>
  <c r="AM236"/>
  <c r="W236"/>
  <c r="O82" i="1"/>
  <c r="F83"/>
  <c r="M81"/>
  <c r="D82"/>
  <c r="N82"/>
  <c r="E83"/>
  <c r="P82"/>
  <c r="G83"/>
  <c r="O27"/>
  <c r="T28"/>
  <c r="L24"/>
  <c r="N23"/>
  <c r="E24"/>
  <c r="F23"/>
  <c r="H276" i="2"/>
  <c r="R28" i="1"/>
  <c r="H27"/>
  <c r="S28"/>
  <c r="K27"/>
  <c r="X275" i="2"/>
  <c r="BE164"/>
  <c r="BD274"/>
  <c r="BE274"/>
  <c r="AR316"/>
  <c r="BB237"/>
  <c r="Z273"/>
  <c r="AA273"/>
  <c r="N18" i="3"/>
  <c r="AF18"/>
  <c r="AY236" i="2"/>
  <c r="F273"/>
  <c r="G273"/>
  <c r="L18" i="3"/>
  <c r="AD18"/>
  <c r="AW236" i="2"/>
  <c r="S272"/>
  <c r="BB276"/>
  <c r="BH165"/>
  <c r="S266" i="1"/>
  <c r="R66" i="2"/>
  <c r="S66"/>
  <c r="T265" i="1"/>
  <c r="N275" i="2"/>
  <c r="BD164"/>
  <c r="AT273"/>
  <c r="AU273"/>
  <c r="P18" i="3"/>
  <c r="AH18"/>
  <c r="BA236" i="2"/>
  <c r="AH275"/>
  <c r="BF164"/>
  <c r="AR275"/>
  <c r="BG164"/>
  <c r="BG273"/>
  <c r="AJ273"/>
  <c r="AK273"/>
  <c r="O18" i="3"/>
  <c r="AG18"/>
  <c r="AZ236" i="2"/>
  <c r="D275"/>
  <c r="BC164"/>
  <c r="P273"/>
  <c r="Q273"/>
  <c r="M18" i="3"/>
  <c r="AE18"/>
  <c r="AX236" i="2"/>
  <c r="I272"/>
  <c r="X86"/>
  <c r="R89"/>
  <c r="AL89"/>
  <c r="AS316"/>
  <c r="AU316"/>
  <c r="R20"/>
  <c r="R90"/>
  <c r="Q215" i="1"/>
  <c r="BG274" i="2"/>
  <c r="AU238"/>
  <c r="AQ317"/>
  <c r="AG87"/>
  <c r="S87"/>
  <c r="AB87"/>
  <c r="Q83" i="1"/>
  <c r="H21" i="2"/>
  <c r="H91"/>
  <c r="H84" i="1"/>
  <c r="H217"/>
  <c r="I19" i="2"/>
  <c r="S18"/>
  <c r="AZ166"/>
  <c r="BA166"/>
  <c r="AY167"/>
  <c r="H267" i="1"/>
  <c r="H68" i="2"/>
  <c r="AI316"/>
  <c r="W86"/>
  <c r="AM86"/>
  <c r="M314"/>
  <c r="O314"/>
  <c r="S316"/>
  <c r="K315"/>
  <c r="C261" i="1"/>
  <c r="I261"/>
  <c r="C61" i="2"/>
  <c r="I61"/>
  <c r="AC86"/>
  <c r="AA86"/>
  <c r="Z86"/>
  <c r="Y86"/>
  <c r="C89"/>
  <c r="I89"/>
  <c r="C315"/>
  <c r="M88"/>
  <c r="AA316"/>
  <c r="P89"/>
  <c r="AJ89"/>
  <c r="O20"/>
  <c r="N215" i="1"/>
  <c r="P20" i="2"/>
  <c r="P90"/>
  <c r="AJ90"/>
  <c r="O215" i="1"/>
  <c r="G21" i="2"/>
  <c r="G91"/>
  <c r="G216" i="1"/>
  <c r="E21" i="2"/>
  <c r="E91"/>
  <c r="E216" i="1"/>
  <c r="D20" i="2"/>
  <c r="D90"/>
  <c r="D215" i="1"/>
  <c r="F21" i="2"/>
  <c r="F91"/>
  <c r="F216" i="1"/>
  <c r="M19" i="2"/>
  <c r="C316"/>
  <c r="L214" i="1"/>
  <c r="Q20" i="2"/>
  <c r="P215" i="1"/>
  <c r="N19" i="2"/>
  <c r="N89"/>
  <c r="AH89"/>
  <c r="M214" i="1"/>
  <c r="C20" i="2"/>
  <c r="C215" i="1"/>
  <c r="L82"/>
  <c r="C83"/>
  <c r="O53" i="4"/>
  <c r="X52"/>
  <c r="E21" i="3"/>
  <c r="N53" i="4"/>
  <c r="W52"/>
  <c r="D21" i="3"/>
  <c r="R53" i="4"/>
  <c r="AA52"/>
  <c r="H21" i="3"/>
  <c r="P53" i="4"/>
  <c r="Y52"/>
  <c r="F21" i="3"/>
  <c r="Q53" i="4"/>
  <c r="Z52"/>
  <c r="G21" i="3"/>
  <c r="M53" i="4"/>
  <c r="V52"/>
  <c r="C21" i="3"/>
  <c r="Q18"/>
  <c r="AI18"/>
  <c r="AW273" i="2"/>
  <c r="AJ315"/>
  <c r="AK315"/>
  <c r="AM315"/>
  <c r="AB315"/>
  <c r="AC315"/>
  <c r="AE315"/>
  <c r="C650" i="1"/>
  <c r="AS239" i="2"/>
  <c r="AC238"/>
  <c r="M238"/>
  <c r="U238"/>
  <c r="AK238"/>
  <c r="E238"/>
  <c r="W237"/>
  <c r="AM237"/>
  <c r="O237"/>
  <c r="F318"/>
  <c r="N318"/>
  <c r="V318"/>
  <c r="AD318"/>
  <c r="AL318"/>
  <c r="AT318"/>
  <c r="R276"/>
  <c r="AB276"/>
  <c r="AL276"/>
  <c r="AV276"/>
  <c r="BF276"/>
  <c r="AC273"/>
  <c r="T315"/>
  <c r="S273"/>
  <c r="M313"/>
  <c r="P165"/>
  <c r="Q165"/>
  <c r="O166"/>
  <c r="AH165"/>
  <c r="AI165"/>
  <c r="AG166"/>
  <c r="Y165"/>
  <c r="Z165"/>
  <c r="X166"/>
  <c r="AQ165"/>
  <c r="AR165"/>
  <c r="AP166"/>
  <c r="G165"/>
  <c r="H165"/>
  <c r="F166"/>
  <c r="D650" i="1"/>
  <c r="AT239" i="2"/>
  <c r="F238"/>
  <c r="V238"/>
  <c r="AD238"/>
  <c r="AL238"/>
  <c r="N238"/>
  <c r="W313"/>
  <c r="AE313"/>
  <c r="E314"/>
  <c r="G314"/>
  <c r="D315"/>
  <c r="I273"/>
  <c r="Q19" i="3"/>
  <c r="AI19"/>
  <c r="G237" i="2"/>
  <c r="AE237"/>
  <c r="G84" i="1"/>
  <c r="P83"/>
  <c r="E84"/>
  <c r="N83"/>
  <c r="M82"/>
  <c r="D83"/>
  <c r="O83"/>
  <c r="F84"/>
  <c r="K28"/>
  <c r="S29"/>
  <c r="R29"/>
  <c r="H28"/>
  <c r="E25"/>
  <c r="F24"/>
  <c r="H277" i="2"/>
  <c r="L25" i="1"/>
  <c r="N24"/>
  <c r="T29"/>
  <c r="O28"/>
  <c r="R67" i="2"/>
  <c r="S67"/>
  <c r="T266" i="1"/>
  <c r="F274" i="2"/>
  <c r="G274"/>
  <c r="L19" i="3"/>
  <c r="AD19"/>
  <c r="AW237" i="2"/>
  <c r="AR276"/>
  <c r="BG165"/>
  <c r="AH276"/>
  <c r="BF165"/>
  <c r="L315"/>
  <c r="Z274"/>
  <c r="AA274"/>
  <c r="N19" i="3"/>
  <c r="AF19"/>
  <c r="AY237" i="2"/>
  <c r="AM273"/>
  <c r="AJ274"/>
  <c r="AK274"/>
  <c r="O19" i="3"/>
  <c r="AG19"/>
  <c r="AZ237" i="2"/>
  <c r="BB277"/>
  <c r="BH166"/>
  <c r="AT274"/>
  <c r="AU274"/>
  <c r="P19" i="3"/>
  <c r="AH19"/>
  <c r="BA237" i="2"/>
  <c r="D276"/>
  <c r="BC165"/>
  <c r="X276"/>
  <c r="BE165"/>
  <c r="N276"/>
  <c r="BD165"/>
  <c r="P274"/>
  <c r="Q274"/>
  <c r="M19" i="3"/>
  <c r="AE19"/>
  <c r="AX237" i="2"/>
  <c r="BD275"/>
  <c r="BE275"/>
  <c r="AR317"/>
  <c r="BB238"/>
  <c r="R21"/>
  <c r="AQ318"/>
  <c r="Q216" i="1"/>
  <c r="AS317" i="2"/>
  <c r="AU317"/>
  <c r="BG275"/>
  <c r="AU239"/>
  <c r="AG88"/>
  <c r="S88"/>
  <c r="AB88"/>
  <c r="AL90"/>
  <c r="Q84" i="1"/>
  <c r="H22" i="2"/>
  <c r="H92"/>
  <c r="H85" i="1"/>
  <c r="H218"/>
  <c r="S19" i="2"/>
  <c r="I20"/>
  <c r="AE238"/>
  <c r="AZ167"/>
  <c r="BA167"/>
  <c r="AY168"/>
  <c r="H268" i="1"/>
  <c r="H69" i="2"/>
  <c r="K316"/>
  <c r="AA317"/>
  <c r="W87"/>
  <c r="AM87"/>
  <c r="M315"/>
  <c r="O315"/>
  <c r="C262" i="1"/>
  <c r="I262"/>
  <c r="C62" i="2"/>
  <c r="I62"/>
  <c r="AC87"/>
  <c r="AA87"/>
  <c r="Y87"/>
  <c r="Z87"/>
  <c r="X87"/>
  <c r="C90"/>
  <c r="I90"/>
  <c r="AI317"/>
  <c r="Q90"/>
  <c r="AK90"/>
  <c r="M89"/>
  <c r="S317"/>
  <c r="O90"/>
  <c r="AI90"/>
  <c r="F22"/>
  <c r="F92"/>
  <c r="F217" i="1"/>
  <c r="O21" i="2"/>
  <c r="O91"/>
  <c r="AI91"/>
  <c r="N216" i="1"/>
  <c r="Q21" i="2"/>
  <c r="Q91"/>
  <c r="AK91"/>
  <c r="P216" i="1"/>
  <c r="P21" i="2"/>
  <c r="O216" i="1"/>
  <c r="N20" i="2"/>
  <c r="N90"/>
  <c r="AH90"/>
  <c r="M215" i="1"/>
  <c r="E22" i="2"/>
  <c r="E92"/>
  <c r="E217" i="1"/>
  <c r="G22" i="2"/>
  <c r="G92"/>
  <c r="G217" i="1"/>
  <c r="M20" i="2"/>
  <c r="L215" i="1"/>
  <c r="D21" i="2"/>
  <c r="D91"/>
  <c r="D216" i="1"/>
  <c r="C21" i="2"/>
  <c r="C216" i="1"/>
  <c r="C84"/>
  <c r="L83"/>
  <c r="M54" i="4"/>
  <c r="V53"/>
  <c r="C22" i="3"/>
  <c r="Q54" i="4"/>
  <c r="Z53"/>
  <c r="G22" i="3"/>
  <c r="P54" i="4"/>
  <c r="Y53"/>
  <c r="F22" i="3"/>
  <c r="R54" i="4"/>
  <c r="AA53"/>
  <c r="H22" i="3"/>
  <c r="N54" i="4"/>
  <c r="W53"/>
  <c r="D22" i="3"/>
  <c r="O54" i="4"/>
  <c r="X53"/>
  <c r="E22" i="3"/>
  <c r="R277" i="2"/>
  <c r="AB277"/>
  <c r="AL277"/>
  <c r="AV277"/>
  <c r="BF277"/>
  <c r="F319"/>
  <c r="N319"/>
  <c r="V319"/>
  <c r="AD319"/>
  <c r="AL319"/>
  <c r="AT319"/>
  <c r="AM274"/>
  <c r="AB316"/>
  <c r="AC316"/>
  <c r="AE316"/>
  <c r="E315"/>
  <c r="G315"/>
  <c r="D651" i="1"/>
  <c r="AT240" i="2"/>
  <c r="F239"/>
  <c r="N239"/>
  <c r="V239"/>
  <c r="AD239"/>
  <c r="AL239"/>
  <c r="O313"/>
  <c r="S274"/>
  <c r="AC274"/>
  <c r="T316"/>
  <c r="U316"/>
  <c r="W316"/>
  <c r="C651" i="1"/>
  <c r="AS240" i="2"/>
  <c r="U239"/>
  <c r="E239"/>
  <c r="AK239"/>
  <c r="AC239"/>
  <c r="M239"/>
  <c r="G238"/>
  <c r="W238"/>
  <c r="D316"/>
  <c r="I274"/>
  <c r="G166"/>
  <c r="H166"/>
  <c r="F167"/>
  <c r="AQ166"/>
  <c r="AR166"/>
  <c r="AP167"/>
  <c r="Y166"/>
  <c r="Z166"/>
  <c r="X167"/>
  <c r="AH166"/>
  <c r="AI166"/>
  <c r="AG167"/>
  <c r="P166"/>
  <c r="Q166"/>
  <c r="O167"/>
  <c r="U315"/>
  <c r="AJ316"/>
  <c r="AK316"/>
  <c r="AM316"/>
  <c r="AM238"/>
  <c r="O238"/>
  <c r="Q20" i="3"/>
  <c r="AI20"/>
  <c r="O84" i="1"/>
  <c r="F85"/>
  <c r="M83"/>
  <c r="D84"/>
  <c r="N84"/>
  <c r="E85"/>
  <c r="P84"/>
  <c r="G85"/>
  <c r="S30"/>
  <c r="K29"/>
  <c r="O29"/>
  <c r="T30"/>
  <c r="L26"/>
  <c r="N25"/>
  <c r="E26"/>
  <c r="F25"/>
  <c r="H278" i="2"/>
  <c r="R30" i="1"/>
  <c r="H29"/>
  <c r="AH277" i="2"/>
  <c r="BF166"/>
  <c r="AT275"/>
  <c r="AU275"/>
  <c r="P20" i="3"/>
  <c r="AH20"/>
  <c r="BA238" i="2"/>
  <c r="N277"/>
  <c r="BD166"/>
  <c r="X277"/>
  <c r="BE166"/>
  <c r="D277"/>
  <c r="BC166"/>
  <c r="F275"/>
  <c r="G275"/>
  <c r="L20" i="3"/>
  <c r="AD20"/>
  <c r="AW238" i="2"/>
  <c r="AW274"/>
  <c r="L316"/>
  <c r="M316"/>
  <c r="O316"/>
  <c r="BB278"/>
  <c r="BH167"/>
  <c r="AR277"/>
  <c r="BG166"/>
  <c r="AJ275"/>
  <c r="AK275"/>
  <c r="O20" i="3"/>
  <c r="AG20"/>
  <c r="AZ238" i="2"/>
  <c r="P275"/>
  <c r="Q275"/>
  <c r="M20" i="3"/>
  <c r="AE20"/>
  <c r="AX238" i="2"/>
  <c r="Z275"/>
  <c r="AA275"/>
  <c r="N20" i="3"/>
  <c r="AF20"/>
  <c r="AY238" i="2"/>
  <c r="BD276"/>
  <c r="BE276"/>
  <c r="AR318"/>
  <c r="AS318"/>
  <c r="AU318"/>
  <c r="BB239"/>
  <c r="R91"/>
  <c r="R22"/>
  <c r="R92"/>
  <c r="Q217" i="1"/>
  <c r="AU240" i="2"/>
  <c r="AM275"/>
  <c r="BG276"/>
  <c r="AG89"/>
  <c r="S89"/>
  <c r="AB89"/>
  <c r="AL91"/>
  <c r="I21"/>
  <c r="S20"/>
  <c r="Q85" i="1"/>
  <c r="H23" i="2"/>
  <c r="H93"/>
  <c r="H86" i="1"/>
  <c r="H219"/>
  <c r="AB317" i="2"/>
  <c r="AC317"/>
  <c r="AE317"/>
  <c r="AZ168"/>
  <c r="BA168"/>
  <c r="AY169"/>
  <c r="H269" i="1"/>
  <c r="H70" i="2"/>
  <c r="AI318"/>
  <c r="W88"/>
  <c r="AM88"/>
  <c r="C263" i="1"/>
  <c r="I263"/>
  <c r="C63" i="2"/>
  <c r="I63"/>
  <c r="AC88"/>
  <c r="Y88"/>
  <c r="Z88"/>
  <c r="AA88"/>
  <c r="X88"/>
  <c r="S318"/>
  <c r="K317"/>
  <c r="C91"/>
  <c r="I91"/>
  <c r="C317"/>
  <c r="M90"/>
  <c r="AA318"/>
  <c r="P91"/>
  <c r="AJ91"/>
  <c r="G23"/>
  <c r="G93"/>
  <c r="G218" i="1"/>
  <c r="E23" i="2"/>
  <c r="E93"/>
  <c r="E218" i="1"/>
  <c r="D22" i="2"/>
  <c r="D92"/>
  <c r="D217" i="1"/>
  <c r="F23" i="2"/>
  <c r="F93"/>
  <c r="F218" i="1"/>
  <c r="C22" i="2"/>
  <c r="C217" i="1"/>
  <c r="C85"/>
  <c r="L84"/>
  <c r="Q22" i="2"/>
  <c r="Q92"/>
  <c r="AK92"/>
  <c r="P217" i="1"/>
  <c r="O22" i="2"/>
  <c r="N217" i="1"/>
  <c r="N21" i="2"/>
  <c r="M216" i="1"/>
  <c r="P22" i="2"/>
  <c r="P92"/>
  <c r="AJ92"/>
  <c r="O217" i="1"/>
  <c r="M21" i="2"/>
  <c r="L216" i="1"/>
  <c r="AE239" i="2"/>
  <c r="O239"/>
  <c r="G239"/>
  <c r="O55" i="4"/>
  <c r="X54"/>
  <c r="E23" i="3"/>
  <c r="N55" i="4"/>
  <c r="W54"/>
  <c r="D23" i="3"/>
  <c r="R55" i="4"/>
  <c r="AA54"/>
  <c r="H23" i="3"/>
  <c r="P55" i="4"/>
  <c r="Y54"/>
  <c r="F23" i="3"/>
  <c r="Q55" i="4"/>
  <c r="Z54"/>
  <c r="G23" i="3"/>
  <c r="M55" i="4"/>
  <c r="V54"/>
  <c r="C23" i="3"/>
  <c r="AM239" i="2"/>
  <c r="W239"/>
  <c r="Q21" i="3"/>
  <c r="AI21"/>
  <c r="F320" i="2"/>
  <c r="N320"/>
  <c r="V320"/>
  <c r="AD320"/>
  <c r="AL320"/>
  <c r="AT320"/>
  <c r="R278"/>
  <c r="AB278"/>
  <c r="AL278"/>
  <c r="AV278"/>
  <c r="BF278"/>
  <c r="S275"/>
  <c r="L317"/>
  <c r="P167"/>
  <c r="Q167"/>
  <c r="O168"/>
  <c r="AH167"/>
  <c r="AI167"/>
  <c r="AG168"/>
  <c r="Y167"/>
  <c r="Z167"/>
  <c r="X168"/>
  <c r="AQ167"/>
  <c r="AR167"/>
  <c r="AP168"/>
  <c r="G167"/>
  <c r="H167"/>
  <c r="F168"/>
  <c r="AC275"/>
  <c r="T317"/>
  <c r="U317"/>
  <c r="W317"/>
  <c r="C652" i="1"/>
  <c r="AS241" i="2"/>
  <c r="AK240"/>
  <c r="U240"/>
  <c r="M240"/>
  <c r="E240"/>
  <c r="AC240"/>
  <c r="AW275"/>
  <c r="AJ317"/>
  <c r="AK317"/>
  <c r="AM317"/>
  <c r="W315"/>
  <c r="E316"/>
  <c r="G316"/>
  <c r="D317"/>
  <c r="I275"/>
  <c r="D652" i="1"/>
  <c r="AT241" i="2"/>
  <c r="F240"/>
  <c r="N240"/>
  <c r="AD240"/>
  <c r="V240"/>
  <c r="AL240"/>
  <c r="G86" i="1"/>
  <c r="P85"/>
  <c r="E86"/>
  <c r="N85"/>
  <c r="M84"/>
  <c r="D85"/>
  <c r="O85"/>
  <c r="F86"/>
  <c r="T31"/>
  <c r="O30"/>
  <c r="R31"/>
  <c r="H30"/>
  <c r="E27"/>
  <c r="F26"/>
  <c r="H279" i="2"/>
  <c r="L27" i="1"/>
  <c r="N26"/>
  <c r="K30"/>
  <c r="S31"/>
  <c r="AR278" i="2"/>
  <c r="BG167"/>
  <c r="AH278"/>
  <c r="BF167"/>
  <c r="Z276"/>
  <c r="AA276"/>
  <c r="N21" i="3"/>
  <c r="AF21"/>
  <c r="AY239" i="2"/>
  <c r="AJ276"/>
  <c r="AK276"/>
  <c r="O21" i="3"/>
  <c r="AG21"/>
  <c r="AZ239" i="2"/>
  <c r="AT276"/>
  <c r="AU276"/>
  <c r="P21" i="3"/>
  <c r="AH21"/>
  <c r="BA239" i="2"/>
  <c r="D278"/>
  <c r="BC167"/>
  <c r="X278"/>
  <c r="BE167"/>
  <c r="N278"/>
  <c r="BD167"/>
  <c r="F276"/>
  <c r="G276"/>
  <c r="L21" i="3"/>
  <c r="AD21"/>
  <c r="AW239" i="2"/>
  <c r="AQ319"/>
  <c r="BD277"/>
  <c r="BE277"/>
  <c r="BB240"/>
  <c r="P276"/>
  <c r="Q276"/>
  <c r="M21" i="3"/>
  <c r="AE21"/>
  <c r="AX239" i="2"/>
  <c r="BB279"/>
  <c r="BH168"/>
  <c r="R23"/>
  <c r="AQ320"/>
  <c r="Q218" i="1"/>
  <c r="AU241" i="2"/>
  <c r="AG90"/>
  <c r="S90"/>
  <c r="AB90"/>
  <c r="AL92"/>
  <c r="I22"/>
  <c r="Q86" i="1"/>
  <c r="H24" i="2"/>
  <c r="H94"/>
  <c r="H87" i="1"/>
  <c r="H220"/>
  <c r="S21" i="2"/>
  <c r="AZ169"/>
  <c r="BA169"/>
  <c r="AY170"/>
  <c r="H270" i="1"/>
  <c r="H71" i="2"/>
  <c r="AC276"/>
  <c r="W89"/>
  <c r="AM89"/>
  <c r="C264" i="1"/>
  <c r="I264"/>
  <c r="C64" i="2"/>
  <c r="I64"/>
  <c r="AC89"/>
  <c r="Y89"/>
  <c r="AA89"/>
  <c r="X89"/>
  <c r="Z89"/>
  <c r="M317"/>
  <c r="O317"/>
  <c r="AA319"/>
  <c r="AI319"/>
  <c r="C318"/>
  <c r="M91"/>
  <c r="K318"/>
  <c r="N91"/>
  <c r="AH91"/>
  <c r="S319"/>
  <c r="O92"/>
  <c r="AI92"/>
  <c r="C92"/>
  <c r="I92"/>
  <c r="AM276"/>
  <c r="P23"/>
  <c r="O218" i="1"/>
  <c r="N22" i="2"/>
  <c r="N92"/>
  <c r="AH92"/>
  <c r="M217" i="1"/>
  <c r="E24" i="2"/>
  <c r="E94"/>
  <c r="E219" i="1"/>
  <c r="G24" i="2"/>
  <c r="G94"/>
  <c r="G219" i="1"/>
  <c r="C23" i="2"/>
  <c r="C218" i="1"/>
  <c r="C86"/>
  <c r="L85"/>
  <c r="F24" i="2"/>
  <c r="F94"/>
  <c r="F219" i="1"/>
  <c r="D23" i="2"/>
  <c r="D93"/>
  <c r="D218" i="1"/>
  <c r="O23" i="2"/>
  <c r="O93"/>
  <c r="AI93"/>
  <c r="N218" i="1"/>
  <c r="Q23" i="2"/>
  <c r="Q93"/>
  <c r="AK93"/>
  <c r="P218" i="1"/>
  <c r="M22" i="2"/>
  <c r="L217" i="1"/>
  <c r="I276" i="2"/>
  <c r="L318"/>
  <c r="S276"/>
  <c r="D318"/>
  <c r="AB318"/>
  <c r="AC318"/>
  <c r="AE318"/>
  <c r="AJ318"/>
  <c r="AK318"/>
  <c r="AM318"/>
  <c r="M56" i="4"/>
  <c r="V55"/>
  <c r="C24" i="3"/>
  <c r="Q56" i="4"/>
  <c r="Z55"/>
  <c r="G24" i="3"/>
  <c r="P56" i="4"/>
  <c r="Y55"/>
  <c r="F24" i="3"/>
  <c r="R56" i="4"/>
  <c r="AA55"/>
  <c r="H24" i="3"/>
  <c r="N56" i="4"/>
  <c r="W55"/>
  <c r="D24" i="3"/>
  <c r="O56" i="4"/>
  <c r="X55"/>
  <c r="E24" i="3"/>
  <c r="AW276" i="2"/>
  <c r="T318"/>
  <c r="U318"/>
  <c r="W318"/>
  <c r="AE240"/>
  <c r="O240"/>
  <c r="R279"/>
  <c r="AB279"/>
  <c r="AL279"/>
  <c r="AV279"/>
  <c r="BF279"/>
  <c r="F321"/>
  <c r="N321"/>
  <c r="V321"/>
  <c r="AD321"/>
  <c r="AL321"/>
  <c r="AT321"/>
  <c r="D653" i="1"/>
  <c r="AT242" i="2"/>
  <c r="F241"/>
  <c r="V241"/>
  <c r="N241"/>
  <c r="AD241"/>
  <c r="AL241"/>
  <c r="E317"/>
  <c r="G317"/>
  <c r="G168"/>
  <c r="H168"/>
  <c r="F169"/>
  <c r="AQ168"/>
  <c r="AR168"/>
  <c r="AP169"/>
  <c r="Y168"/>
  <c r="Z168"/>
  <c r="X169"/>
  <c r="AH168"/>
  <c r="AI168"/>
  <c r="AG169"/>
  <c r="P168"/>
  <c r="Q168"/>
  <c r="O169"/>
  <c r="G240"/>
  <c r="Q22" i="3"/>
  <c r="AI22"/>
  <c r="AM240" i="2"/>
  <c r="C653" i="1"/>
  <c r="AS242" i="2"/>
  <c r="AU242"/>
  <c r="AC241"/>
  <c r="M241"/>
  <c r="AK241"/>
  <c r="U241"/>
  <c r="E241"/>
  <c r="W240"/>
  <c r="O86" i="1"/>
  <c r="F87"/>
  <c r="M85"/>
  <c r="D86"/>
  <c r="N86"/>
  <c r="E87"/>
  <c r="P86"/>
  <c r="G87"/>
  <c r="S32"/>
  <c r="K31"/>
  <c r="L28"/>
  <c r="N27"/>
  <c r="E28"/>
  <c r="F27"/>
  <c r="H280" i="2"/>
  <c r="R32" i="1"/>
  <c r="H31"/>
  <c r="O31"/>
  <c r="T32"/>
  <c r="AR279" i="2"/>
  <c r="BG168"/>
  <c r="BD278"/>
  <c r="BE278"/>
  <c r="AR320"/>
  <c r="BB241"/>
  <c r="AR319"/>
  <c r="AS319"/>
  <c r="AU319"/>
  <c r="BG277"/>
  <c r="BD279"/>
  <c r="BE279"/>
  <c r="AR321"/>
  <c r="BB242"/>
  <c r="AJ277"/>
  <c r="AK277"/>
  <c r="AM277"/>
  <c r="AZ240"/>
  <c r="F277"/>
  <c r="G277"/>
  <c r="L22" i="3"/>
  <c r="AD22"/>
  <c r="AW240" i="2"/>
  <c r="AT277"/>
  <c r="AU277"/>
  <c r="P22" i="3"/>
  <c r="AH22"/>
  <c r="BA240" i="2"/>
  <c r="N279"/>
  <c r="BD168"/>
  <c r="X279"/>
  <c r="BE168"/>
  <c r="D279"/>
  <c r="BC168"/>
  <c r="AH279"/>
  <c r="BF168"/>
  <c r="P277"/>
  <c r="Q277"/>
  <c r="M22" i="3"/>
  <c r="AE22"/>
  <c r="AX240" i="2"/>
  <c r="Z277"/>
  <c r="AA277"/>
  <c r="N22" i="3"/>
  <c r="AF22"/>
  <c r="AY240" i="2"/>
  <c r="BB280"/>
  <c r="BH169"/>
  <c r="R93"/>
  <c r="AL93"/>
  <c r="AS320"/>
  <c r="AU320"/>
  <c r="R24"/>
  <c r="R94"/>
  <c r="Q219" i="1"/>
  <c r="BG278" i="2"/>
  <c r="BG279"/>
  <c r="AQ321"/>
  <c r="AS321"/>
  <c r="AU321"/>
  <c r="AG91"/>
  <c r="S91"/>
  <c r="AB91"/>
  <c r="I23"/>
  <c r="S22"/>
  <c r="Q87" i="1"/>
  <c r="H25" i="2"/>
  <c r="H95"/>
  <c r="H88" i="1"/>
  <c r="H221"/>
  <c r="AZ170" i="2"/>
  <c r="BA170"/>
  <c r="AY171"/>
  <c r="H271" i="1"/>
  <c r="H72" i="2"/>
  <c r="W90"/>
  <c r="AM90"/>
  <c r="M318"/>
  <c r="O318"/>
  <c r="C265" i="1"/>
  <c r="I265"/>
  <c r="C65" i="2"/>
  <c r="I65"/>
  <c r="S277"/>
  <c r="K319"/>
  <c r="AI320"/>
  <c r="S320"/>
  <c r="E318"/>
  <c r="G318"/>
  <c r="AC90"/>
  <c r="Z90"/>
  <c r="AA90"/>
  <c r="Y90"/>
  <c r="X90"/>
  <c r="C319"/>
  <c r="M92"/>
  <c r="C93"/>
  <c r="I93"/>
  <c r="AA320"/>
  <c r="P93"/>
  <c r="AJ93"/>
  <c r="G25"/>
  <c r="G95"/>
  <c r="G220" i="1"/>
  <c r="E25" i="2"/>
  <c r="E95"/>
  <c r="E220" i="1"/>
  <c r="D24" i="2"/>
  <c r="D94"/>
  <c r="D219" i="1"/>
  <c r="F25" i="2"/>
  <c r="F95"/>
  <c r="F220" i="1"/>
  <c r="C24" i="2"/>
  <c r="C219" i="1"/>
  <c r="L86"/>
  <c r="C87"/>
  <c r="Q24" i="2"/>
  <c r="Q94"/>
  <c r="AK94"/>
  <c r="P219" i="1"/>
  <c r="O24" i="2"/>
  <c r="O94"/>
  <c r="AI94"/>
  <c r="N219" i="1"/>
  <c r="N23" i="2"/>
  <c r="M218" i="1"/>
  <c r="P24" i="2"/>
  <c r="O219" i="1"/>
  <c r="M23" i="2"/>
  <c r="L218" i="1"/>
  <c r="AM241" i="2"/>
  <c r="Q23" i="3"/>
  <c r="AI23"/>
  <c r="O57" i="4"/>
  <c r="X56"/>
  <c r="E25" i="3"/>
  <c r="N57" i="4"/>
  <c r="W56"/>
  <c r="D25" i="3"/>
  <c r="R57" i="4"/>
  <c r="AA56"/>
  <c r="H25" i="3"/>
  <c r="P57" i="4"/>
  <c r="Y56"/>
  <c r="F25" i="3"/>
  <c r="Q57" i="4"/>
  <c r="Z56"/>
  <c r="G25" i="3"/>
  <c r="M57" i="4"/>
  <c r="V56"/>
  <c r="C25" i="3"/>
  <c r="W241" i="2"/>
  <c r="AE241"/>
  <c r="AB319"/>
  <c r="AC319"/>
  <c r="AE319"/>
  <c r="F322"/>
  <c r="N322"/>
  <c r="V322"/>
  <c r="AD322"/>
  <c r="AL322"/>
  <c r="AT322"/>
  <c r="R280"/>
  <c r="AB280"/>
  <c r="AL280"/>
  <c r="AV280"/>
  <c r="BF280"/>
  <c r="AC277"/>
  <c r="AW277"/>
  <c r="AJ319"/>
  <c r="AK319"/>
  <c r="AM319"/>
  <c r="D319"/>
  <c r="C654" i="1"/>
  <c r="AS243" i="2"/>
  <c r="AK242"/>
  <c r="E242"/>
  <c r="M242"/>
  <c r="U242"/>
  <c r="AC242"/>
  <c r="P169"/>
  <c r="Q169"/>
  <c r="O170"/>
  <c r="AH169"/>
  <c r="AI169"/>
  <c r="AG170"/>
  <c r="Y169"/>
  <c r="Z169"/>
  <c r="X170"/>
  <c r="AQ169"/>
  <c r="AR169"/>
  <c r="AP170"/>
  <c r="G169"/>
  <c r="H169"/>
  <c r="F170"/>
  <c r="D654" i="1"/>
  <c r="AT243" i="2"/>
  <c r="F242"/>
  <c r="N242"/>
  <c r="V242"/>
  <c r="AD242"/>
  <c r="AL242"/>
  <c r="G241"/>
  <c r="O241"/>
  <c r="G88" i="1"/>
  <c r="P87"/>
  <c r="E88"/>
  <c r="N87"/>
  <c r="M86"/>
  <c r="D87"/>
  <c r="O87"/>
  <c r="F88"/>
  <c r="R33"/>
  <c r="H32"/>
  <c r="E29"/>
  <c r="F28"/>
  <c r="H281" i="2"/>
  <c r="L29" i="1"/>
  <c r="N28"/>
  <c r="K32"/>
  <c r="S33"/>
  <c r="T33"/>
  <c r="O32"/>
  <c r="F278" i="2"/>
  <c r="G278"/>
  <c r="L23" i="3"/>
  <c r="AD23"/>
  <c r="AW241" i="2"/>
  <c r="AR280"/>
  <c r="BG169"/>
  <c r="AH280"/>
  <c r="BF169"/>
  <c r="Z278"/>
  <c r="AA278"/>
  <c r="N23" i="3"/>
  <c r="AF23"/>
  <c r="AY241" i="2"/>
  <c r="BB281"/>
  <c r="BH170"/>
  <c r="P278"/>
  <c r="Q278"/>
  <c r="M23" i="3"/>
  <c r="AE23"/>
  <c r="AX241" i="2"/>
  <c r="I277"/>
  <c r="T319"/>
  <c r="U319"/>
  <c r="W319"/>
  <c r="O22" i="3"/>
  <c r="AG22"/>
  <c r="L319" i="2"/>
  <c r="M319"/>
  <c r="O319"/>
  <c r="D280"/>
  <c r="BC169"/>
  <c r="X280"/>
  <c r="BE169"/>
  <c r="N280"/>
  <c r="BD169"/>
  <c r="AJ278"/>
  <c r="AK278"/>
  <c r="O23" i="3"/>
  <c r="AG23"/>
  <c r="AZ241" i="2"/>
  <c r="AT278"/>
  <c r="AU278"/>
  <c r="P23" i="3"/>
  <c r="AH23"/>
  <c r="BA241" i="2"/>
  <c r="R25"/>
  <c r="AQ322"/>
  <c r="Q220" i="1"/>
  <c r="AU243" i="2"/>
  <c r="AG92"/>
  <c r="S92"/>
  <c r="AB92"/>
  <c r="AL94"/>
  <c r="Q88" i="1"/>
  <c r="H89"/>
  <c r="H222"/>
  <c r="H26" i="2"/>
  <c r="H96"/>
  <c r="I24"/>
  <c r="S23"/>
  <c r="AZ171"/>
  <c r="BA171"/>
  <c r="AY172"/>
  <c r="AI321"/>
  <c r="X91"/>
  <c r="AM91"/>
  <c r="AW278"/>
  <c r="S321"/>
  <c r="C266" i="1"/>
  <c r="I266"/>
  <c r="C66" i="2"/>
  <c r="I66"/>
  <c r="AC91"/>
  <c r="AA91"/>
  <c r="Y91"/>
  <c r="Z91"/>
  <c r="W91"/>
  <c r="C320"/>
  <c r="M93"/>
  <c r="AA321"/>
  <c r="P94"/>
  <c r="AJ94"/>
  <c r="K320"/>
  <c r="N93"/>
  <c r="AH93"/>
  <c r="C94"/>
  <c r="I94"/>
  <c r="P25"/>
  <c r="P95"/>
  <c r="AJ95"/>
  <c r="O220" i="1"/>
  <c r="F26" i="2"/>
  <c r="F96"/>
  <c r="F221" i="1"/>
  <c r="D25" i="2"/>
  <c r="D95"/>
  <c r="D220" i="1"/>
  <c r="O25" i="2"/>
  <c r="O95"/>
  <c r="AI95"/>
  <c r="N220" i="1"/>
  <c r="Q25" i="2"/>
  <c r="P220" i="1"/>
  <c r="M24" i="2"/>
  <c r="L219" i="1"/>
  <c r="N24" i="2"/>
  <c r="M219" i="1"/>
  <c r="E26" i="2"/>
  <c r="E96"/>
  <c r="E221" i="1"/>
  <c r="G26" i="2"/>
  <c r="G96"/>
  <c r="G221" i="1"/>
  <c r="C25" i="2"/>
  <c r="C220" i="1"/>
  <c r="C88"/>
  <c r="L87"/>
  <c r="AJ320" i="2"/>
  <c r="AK320"/>
  <c r="AM320"/>
  <c r="AB320"/>
  <c r="AC320"/>
  <c r="AE320"/>
  <c r="AC278"/>
  <c r="M58" i="4"/>
  <c r="V57"/>
  <c r="C26" i="3"/>
  <c r="Q58" i="4"/>
  <c r="Z57"/>
  <c r="G26" i="3"/>
  <c r="P58" i="4"/>
  <c r="Y57"/>
  <c r="F26" i="3"/>
  <c r="R58" i="4"/>
  <c r="AA57"/>
  <c r="H26" i="3"/>
  <c r="N58" i="4"/>
  <c r="W57"/>
  <c r="D26" i="3"/>
  <c r="O58" i="4"/>
  <c r="X57"/>
  <c r="E26" i="3"/>
  <c r="T320" i="2"/>
  <c r="U320"/>
  <c r="W320"/>
  <c r="AM278"/>
  <c r="R281"/>
  <c r="AB281"/>
  <c r="AL281"/>
  <c r="AV281"/>
  <c r="BF281"/>
  <c r="F323"/>
  <c r="N323"/>
  <c r="V323"/>
  <c r="AD323"/>
  <c r="AL323"/>
  <c r="AT323"/>
  <c r="S278"/>
  <c r="L320"/>
  <c r="D655" i="1"/>
  <c r="AT244" i="2"/>
  <c r="N243"/>
  <c r="V243"/>
  <c r="AD243"/>
  <c r="F243"/>
  <c r="AL243"/>
  <c r="Q24" i="3"/>
  <c r="AI24"/>
  <c r="O242" i="2"/>
  <c r="AM242"/>
  <c r="D320"/>
  <c r="I278"/>
  <c r="G170"/>
  <c r="H170"/>
  <c r="F171"/>
  <c r="AQ170"/>
  <c r="AR170"/>
  <c r="AP171"/>
  <c r="Y170"/>
  <c r="Z170"/>
  <c r="X171"/>
  <c r="AH170"/>
  <c r="AI170"/>
  <c r="AG171"/>
  <c r="P170"/>
  <c r="Q170"/>
  <c r="O171"/>
  <c r="C655" i="1"/>
  <c r="AS244" i="2"/>
  <c r="AU244"/>
  <c r="Q25" i="3"/>
  <c r="AI25"/>
  <c r="AK243" i="2"/>
  <c r="U243"/>
  <c r="E243"/>
  <c r="AC243"/>
  <c r="M243"/>
  <c r="E319"/>
  <c r="G319"/>
  <c r="AE242"/>
  <c r="W242"/>
  <c r="G242"/>
  <c r="O88" i="1"/>
  <c r="F89"/>
  <c r="M87"/>
  <c r="D88"/>
  <c r="N88"/>
  <c r="E89"/>
  <c r="P88"/>
  <c r="G89"/>
  <c r="O33"/>
  <c r="T34"/>
  <c r="L30"/>
  <c r="N29"/>
  <c r="E30"/>
  <c r="F29"/>
  <c r="H282" i="2"/>
  <c r="R34" i="1"/>
  <c r="H33"/>
  <c r="S34"/>
  <c r="K33"/>
  <c r="BD281" i="2"/>
  <c r="BE281"/>
  <c r="AR323"/>
  <c r="BB244"/>
  <c r="AT279"/>
  <c r="AU279"/>
  <c r="P24" i="3"/>
  <c r="AH24"/>
  <c r="BA242" i="2"/>
  <c r="AR281"/>
  <c r="BG170"/>
  <c r="X281"/>
  <c r="BE170"/>
  <c r="D281"/>
  <c r="BC170"/>
  <c r="P279"/>
  <c r="Q279"/>
  <c r="M24" i="3"/>
  <c r="AE24"/>
  <c r="AX242" i="2"/>
  <c r="BB282"/>
  <c r="BH171"/>
  <c r="AJ279"/>
  <c r="AK279"/>
  <c r="O24" i="3"/>
  <c r="AG24"/>
  <c r="AZ242" i="2"/>
  <c r="AH281"/>
  <c r="BF170"/>
  <c r="F279"/>
  <c r="G279"/>
  <c r="L24" i="3"/>
  <c r="AD24"/>
  <c r="AW242" i="2"/>
  <c r="N281"/>
  <c r="BD170"/>
  <c r="Z279"/>
  <c r="AA279"/>
  <c r="N24" i="3"/>
  <c r="AF24"/>
  <c r="AY242" i="2"/>
  <c r="BD280"/>
  <c r="BE280"/>
  <c r="AR322"/>
  <c r="BB243"/>
  <c r="R95"/>
  <c r="R26"/>
  <c r="R96"/>
  <c r="Q221" i="1"/>
  <c r="AS322" i="2"/>
  <c r="AU322"/>
  <c r="BG281"/>
  <c r="BG280"/>
  <c r="AG93"/>
  <c r="S93"/>
  <c r="AB93"/>
  <c r="AL95"/>
  <c r="AQ323"/>
  <c r="AS323"/>
  <c r="AU323"/>
  <c r="Q89" i="1"/>
  <c r="H90"/>
  <c r="H223"/>
  <c r="H27" i="2"/>
  <c r="H97"/>
  <c r="I25"/>
  <c r="S24"/>
  <c r="AZ172"/>
  <c r="BA172"/>
  <c r="AY173"/>
  <c r="AM243"/>
  <c r="W92"/>
  <c r="AM92"/>
  <c r="G243"/>
  <c r="AA322"/>
  <c r="S322"/>
  <c r="C267" i="1"/>
  <c r="I267"/>
  <c r="C67" i="2"/>
  <c r="I67"/>
  <c r="AC92"/>
  <c r="Z92"/>
  <c r="AA92"/>
  <c r="Y92"/>
  <c r="X92"/>
  <c r="C95"/>
  <c r="I95"/>
  <c r="K321"/>
  <c r="N94"/>
  <c r="AH94"/>
  <c r="C321"/>
  <c r="M94"/>
  <c r="AI322"/>
  <c r="Q95"/>
  <c r="AK95"/>
  <c r="M320"/>
  <c r="O320"/>
  <c r="O26"/>
  <c r="N221" i="1"/>
  <c r="N25" i="2"/>
  <c r="M220" i="1"/>
  <c r="P26" i="2"/>
  <c r="O221" i="1"/>
  <c r="G27" i="2"/>
  <c r="G97"/>
  <c r="G222" i="1"/>
  <c r="E27" i="2"/>
  <c r="E97"/>
  <c r="E222" i="1"/>
  <c r="D26" i="2"/>
  <c r="D96"/>
  <c r="D221" i="1"/>
  <c r="F27" i="2"/>
  <c r="F97"/>
  <c r="F222" i="1"/>
  <c r="C26" i="2"/>
  <c r="C221" i="1"/>
  <c r="C89"/>
  <c r="L88"/>
  <c r="Q26" i="2"/>
  <c r="Q96"/>
  <c r="AK96"/>
  <c r="P221" i="1"/>
  <c r="M25" i="2"/>
  <c r="L220" i="1"/>
  <c r="W243" i="2"/>
  <c r="O59" i="4"/>
  <c r="X58"/>
  <c r="E27" i="3"/>
  <c r="N59" i="4"/>
  <c r="W58"/>
  <c r="D27" i="3"/>
  <c r="R59" i="4"/>
  <c r="AA58"/>
  <c r="H27" i="3"/>
  <c r="P59" i="4"/>
  <c r="Y58"/>
  <c r="F27" i="3"/>
  <c r="Q59" i="4"/>
  <c r="Z58"/>
  <c r="G27" i="3"/>
  <c r="M59" i="4"/>
  <c r="V58"/>
  <c r="C27" i="3"/>
  <c r="O243" i="2"/>
  <c r="AE243"/>
  <c r="F324"/>
  <c r="N324"/>
  <c r="V324"/>
  <c r="AD324"/>
  <c r="AL324"/>
  <c r="AT324"/>
  <c r="R282"/>
  <c r="AB282"/>
  <c r="AL282"/>
  <c r="AV282"/>
  <c r="BF282"/>
  <c r="D321"/>
  <c r="I279"/>
  <c r="AM279"/>
  <c r="AB321"/>
  <c r="AC321"/>
  <c r="AE321"/>
  <c r="P171"/>
  <c r="Q171"/>
  <c r="O172"/>
  <c r="AH171"/>
  <c r="AI171"/>
  <c r="AG172"/>
  <c r="Y171"/>
  <c r="Z171"/>
  <c r="X172"/>
  <c r="AQ171"/>
  <c r="AR171"/>
  <c r="AP172"/>
  <c r="G171"/>
  <c r="H171"/>
  <c r="F172"/>
  <c r="AW279"/>
  <c r="AJ321"/>
  <c r="AK321"/>
  <c r="AM321"/>
  <c r="AC279"/>
  <c r="T321"/>
  <c r="U321"/>
  <c r="W321"/>
  <c r="C656" i="1"/>
  <c r="AS245" i="2"/>
  <c r="U244"/>
  <c r="AC244"/>
  <c r="E244"/>
  <c r="AK244"/>
  <c r="M244"/>
  <c r="E320"/>
  <c r="G320"/>
  <c r="S279"/>
  <c r="L321"/>
  <c r="D656" i="1"/>
  <c r="AT245" i="2"/>
  <c r="F244"/>
  <c r="N244"/>
  <c r="V244"/>
  <c r="AD244"/>
  <c r="AL244"/>
  <c r="G90" i="1"/>
  <c r="P89"/>
  <c r="E90"/>
  <c r="N89"/>
  <c r="M88"/>
  <c r="D89"/>
  <c r="O89"/>
  <c r="F90"/>
  <c r="K34"/>
  <c r="S35"/>
  <c r="R35"/>
  <c r="H34"/>
  <c r="E31"/>
  <c r="F30"/>
  <c r="H283" i="2"/>
  <c r="L31" i="1"/>
  <c r="N30"/>
  <c r="T35"/>
  <c r="O34"/>
  <c r="X282" i="2"/>
  <c r="BE171"/>
  <c r="P280"/>
  <c r="Q280"/>
  <c r="M25" i="3"/>
  <c r="AE25"/>
  <c r="AX243" i="2"/>
  <c r="AT280"/>
  <c r="AU280"/>
  <c r="P25" i="3"/>
  <c r="AH25"/>
  <c r="BA243" i="2"/>
  <c r="Z280"/>
  <c r="AA280"/>
  <c r="N25" i="3"/>
  <c r="AF25"/>
  <c r="AY243" i="2"/>
  <c r="F280"/>
  <c r="G280"/>
  <c r="L25" i="3"/>
  <c r="AD25"/>
  <c r="AW243" i="2"/>
  <c r="D282"/>
  <c r="BC171"/>
  <c r="AR282"/>
  <c r="BG171"/>
  <c r="AH282"/>
  <c r="BF171"/>
  <c r="BB283"/>
  <c r="BH172"/>
  <c r="N282"/>
  <c r="BD171"/>
  <c r="AJ280"/>
  <c r="AK280"/>
  <c r="O25" i="3"/>
  <c r="AG25"/>
  <c r="AZ243" i="2"/>
  <c r="R27"/>
  <c r="R97"/>
  <c r="Q222" i="1"/>
  <c r="AU245" i="2"/>
  <c r="AL96"/>
  <c r="AG94"/>
  <c r="S94"/>
  <c r="AB94"/>
  <c r="AQ324"/>
  <c r="I26"/>
  <c r="S25"/>
  <c r="Q90" i="1"/>
  <c r="H91"/>
  <c r="H224"/>
  <c r="H28" i="2"/>
  <c r="H98"/>
  <c r="AZ173"/>
  <c r="BA173"/>
  <c r="AY174"/>
  <c r="M321"/>
  <c r="O321"/>
  <c r="AJ322"/>
  <c r="AK322"/>
  <c r="AM322"/>
  <c r="D322"/>
  <c r="I280"/>
  <c r="X93"/>
  <c r="AM93"/>
  <c r="AI323"/>
  <c r="C268" i="1"/>
  <c r="I268"/>
  <c r="C68" i="2"/>
  <c r="I68"/>
  <c r="W93"/>
  <c r="AC93"/>
  <c r="Y93"/>
  <c r="AA93"/>
  <c r="Z93"/>
  <c r="C322"/>
  <c r="M95"/>
  <c r="C96"/>
  <c r="I96"/>
  <c r="AA323"/>
  <c r="P96"/>
  <c r="AJ96"/>
  <c r="K322"/>
  <c r="N95"/>
  <c r="AH95"/>
  <c r="S323"/>
  <c r="O96"/>
  <c r="AI96"/>
  <c r="S280"/>
  <c r="D27"/>
  <c r="D97"/>
  <c r="D222" i="1"/>
  <c r="Q27" i="2"/>
  <c r="P222" i="1"/>
  <c r="P27" i="2"/>
  <c r="O222" i="1"/>
  <c r="N26" i="2"/>
  <c r="M221" i="1"/>
  <c r="E28" i="2"/>
  <c r="E98"/>
  <c r="E223" i="1"/>
  <c r="G28" i="2"/>
  <c r="G98"/>
  <c r="G223" i="1"/>
  <c r="C27" i="2"/>
  <c r="C222" i="1"/>
  <c r="L89"/>
  <c r="C90"/>
  <c r="F28" i="2"/>
  <c r="F98"/>
  <c r="F223" i="1"/>
  <c r="O27" i="2"/>
  <c r="N222" i="1"/>
  <c r="M26" i="2"/>
  <c r="L221" i="1"/>
  <c r="T322" i="2"/>
  <c r="U322"/>
  <c r="W322"/>
  <c r="AC280"/>
  <c r="M60" i="4"/>
  <c r="V59"/>
  <c r="C28" i="3"/>
  <c r="Q60" i="4"/>
  <c r="Z59"/>
  <c r="G28" i="3"/>
  <c r="P60" i="4"/>
  <c r="Y59"/>
  <c r="F28" i="3"/>
  <c r="R60" i="4"/>
  <c r="AA59"/>
  <c r="H28" i="3"/>
  <c r="N60" i="4"/>
  <c r="W59"/>
  <c r="D28" i="3"/>
  <c r="O60" i="4"/>
  <c r="X59"/>
  <c r="E28" i="3"/>
  <c r="L322" i="2"/>
  <c r="O244"/>
  <c r="R283"/>
  <c r="AB283"/>
  <c r="AL283"/>
  <c r="AV283"/>
  <c r="BF283"/>
  <c r="F325"/>
  <c r="N325"/>
  <c r="V325"/>
  <c r="AD325"/>
  <c r="AL325"/>
  <c r="AT325"/>
  <c r="D657" i="1"/>
  <c r="AT246" i="2"/>
  <c r="F245"/>
  <c r="V245"/>
  <c r="N245"/>
  <c r="AD245"/>
  <c r="AL245"/>
  <c r="G172"/>
  <c r="H172"/>
  <c r="F173"/>
  <c r="AQ172"/>
  <c r="AR172"/>
  <c r="AP173"/>
  <c r="Y172"/>
  <c r="Z172"/>
  <c r="X173"/>
  <c r="AH172"/>
  <c r="AI172"/>
  <c r="AG173"/>
  <c r="P172"/>
  <c r="Q172"/>
  <c r="O173"/>
  <c r="AM244"/>
  <c r="G244"/>
  <c r="W244"/>
  <c r="C657" i="1"/>
  <c r="AS246" i="2"/>
  <c r="AC245"/>
  <c r="M245"/>
  <c r="Q27" i="3"/>
  <c r="AI27"/>
  <c r="AK245" i="2"/>
  <c r="U245"/>
  <c r="E245"/>
  <c r="E321"/>
  <c r="G321"/>
  <c r="Q26" i="3"/>
  <c r="AI26"/>
  <c r="AE244" i="2"/>
  <c r="N90" i="1"/>
  <c r="E91"/>
  <c r="P90"/>
  <c r="G91"/>
  <c r="O90"/>
  <c r="F91"/>
  <c r="M89"/>
  <c r="D90"/>
  <c r="O35"/>
  <c r="T36"/>
  <c r="L32"/>
  <c r="N31"/>
  <c r="E32"/>
  <c r="F31"/>
  <c r="H284" i="2"/>
  <c r="R36" i="1"/>
  <c r="H35"/>
  <c r="S36"/>
  <c r="K35"/>
  <c r="AJ281" i="2"/>
  <c r="AK281"/>
  <c r="O26" i="3"/>
  <c r="AG26"/>
  <c r="AZ244" i="2"/>
  <c r="AT281"/>
  <c r="AU281"/>
  <c r="P26" i="3"/>
  <c r="AH26"/>
  <c r="BA244" i="2"/>
  <c r="AH283"/>
  <c r="BF172"/>
  <c r="AR283"/>
  <c r="BG172"/>
  <c r="AB322"/>
  <c r="AC322"/>
  <c r="AE322"/>
  <c r="AM280"/>
  <c r="AW280"/>
  <c r="BB284"/>
  <c r="BH173"/>
  <c r="Z281"/>
  <c r="AA281"/>
  <c r="N26" i="3"/>
  <c r="AF26"/>
  <c r="AY244" i="2"/>
  <c r="N283"/>
  <c r="BD172"/>
  <c r="X283"/>
  <c r="BE172"/>
  <c r="D283"/>
  <c r="BC172"/>
  <c r="F281"/>
  <c r="G281"/>
  <c r="L26" i="3"/>
  <c r="AD26"/>
  <c r="AW244" i="2"/>
  <c r="P281"/>
  <c r="Q281"/>
  <c r="M26" i="3"/>
  <c r="AE26"/>
  <c r="AX244" i="2"/>
  <c r="BD282"/>
  <c r="BE282"/>
  <c r="AR324"/>
  <c r="AS324"/>
  <c r="AU324"/>
  <c r="BB245"/>
  <c r="R28"/>
  <c r="AQ325"/>
  <c r="Q223" i="1"/>
  <c r="BG282" i="2"/>
  <c r="AU246"/>
  <c r="AL97"/>
  <c r="AG95"/>
  <c r="S95"/>
  <c r="AB95"/>
  <c r="I27"/>
  <c r="Q91" i="1"/>
  <c r="H92"/>
  <c r="H225"/>
  <c r="H29" i="2"/>
  <c r="H99"/>
  <c r="S26"/>
  <c r="AZ174"/>
  <c r="BA174"/>
  <c r="AY175"/>
  <c r="E322"/>
  <c r="G322"/>
  <c r="W94"/>
  <c r="AM94"/>
  <c r="O245"/>
  <c r="C269" i="1"/>
  <c r="I269"/>
  <c r="C69" i="2"/>
  <c r="I69"/>
  <c r="W245"/>
  <c r="X94"/>
  <c r="AC94"/>
  <c r="AA94"/>
  <c r="Y94"/>
  <c r="Z94"/>
  <c r="C323"/>
  <c r="M96"/>
  <c r="S324"/>
  <c r="O97"/>
  <c r="AI97"/>
  <c r="C97"/>
  <c r="I97"/>
  <c r="K323"/>
  <c r="N96"/>
  <c r="AH96"/>
  <c r="AA324"/>
  <c r="P97"/>
  <c r="AJ97"/>
  <c r="AI324"/>
  <c r="Q97"/>
  <c r="AK97"/>
  <c r="M322"/>
  <c r="O322"/>
  <c r="AM95"/>
  <c r="F29"/>
  <c r="F99"/>
  <c r="F224" i="1"/>
  <c r="E29" i="2"/>
  <c r="E99"/>
  <c r="E224" i="1"/>
  <c r="N27" i="2"/>
  <c r="N97"/>
  <c r="AH97"/>
  <c r="M222" i="1"/>
  <c r="P28" i="2"/>
  <c r="O223" i="1"/>
  <c r="Q28" i="2"/>
  <c r="P223" i="1"/>
  <c r="O28" i="2"/>
  <c r="N223" i="1"/>
  <c r="M27" i="2"/>
  <c r="L222" i="1"/>
  <c r="D28" i="2"/>
  <c r="D98"/>
  <c r="D223" i="1"/>
  <c r="G29" i="2"/>
  <c r="G99"/>
  <c r="G224" i="1"/>
  <c r="C28" i="2"/>
  <c r="C223" i="1"/>
  <c r="C91"/>
  <c r="L90"/>
  <c r="AM245" i="2"/>
  <c r="O61" i="4"/>
  <c r="X60"/>
  <c r="E29" i="3"/>
  <c r="N61" i="4"/>
  <c r="W60"/>
  <c r="D29" i="3"/>
  <c r="R61" i="4"/>
  <c r="AA60"/>
  <c r="H29" i="3"/>
  <c r="P61" i="4"/>
  <c r="Y60"/>
  <c r="F29" i="3"/>
  <c r="Z60" i="4"/>
  <c r="G29" i="3"/>
  <c r="Q61" i="4"/>
  <c r="V60"/>
  <c r="C29" i="3"/>
  <c r="M61" i="4"/>
  <c r="L323" i="2"/>
  <c r="K324"/>
  <c r="G245"/>
  <c r="S281"/>
  <c r="AE245"/>
  <c r="AC281"/>
  <c r="T323"/>
  <c r="U323"/>
  <c r="W323"/>
  <c r="AW281"/>
  <c r="AJ323"/>
  <c r="AK323"/>
  <c r="AM323"/>
  <c r="F326"/>
  <c r="N326"/>
  <c r="V326"/>
  <c r="AD326"/>
  <c r="AL326"/>
  <c r="AT326"/>
  <c r="R284"/>
  <c r="AB284"/>
  <c r="AL284"/>
  <c r="AV284"/>
  <c r="BF284"/>
  <c r="C658" i="1"/>
  <c r="AS247" i="2"/>
  <c r="E246"/>
  <c r="M246"/>
  <c r="U246"/>
  <c r="AK246"/>
  <c r="AC246"/>
  <c r="D323"/>
  <c r="I281"/>
  <c r="P173"/>
  <c r="Q173"/>
  <c r="O174"/>
  <c r="AH173"/>
  <c r="AI173"/>
  <c r="AG174"/>
  <c r="Y173"/>
  <c r="Z173"/>
  <c r="X174"/>
  <c r="AQ173"/>
  <c r="AR173"/>
  <c r="AP174"/>
  <c r="G173"/>
  <c r="H173"/>
  <c r="F174"/>
  <c r="D658" i="1"/>
  <c r="AT247" i="2"/>
  <c r="F246"/>
  <c r="N246"/>
  <c r="V246"/>
  <c r="AL246"/>
  <c r="AD246"/>
  <c r="M90" i="1"/>
  <c r="D91"/>
  <c r="O91"/>
  <c r="F92"/>
  <c r="G92"/>
  <c r="P91"/>
  <c r="E92"/>
  <c r="N91"/>
  <c r="K36"/>
  <c r="S37"/>
  <c r="R37"/>
  <c r="H36"/>
  <c r="E33"/>
  <c r="F32"/>
  <c r="H285" i="2"/>
  <c r="L33" i="1"/>
  <c r="N32"/>
  <c r="T37"/>
  <c r="O36"/>
  <c r="X284" i="2"/>
  <c r="BE173"/>
  <c r="BD283"/>
  <c r="BE283"/>
  <c r="AR325"/>
  <c r="BB246"/>
  <c r="F282"/>
  <c r="G282"/>
  <c r="L27" i="3"/>
  <c r="AD27"/>
  <c r="AW245" i="2"/>
  <c r="Z282"/>
  <c r="AA282"/>
  <c r="N27" i="3"/>
  <c r="AF27"/>
  <c r="AY245" i="2"/>
  <c r="BB285"/>
  <c r="BH174"/>
  <c r="D284"/>
  <c r="BC173"/>
  <c r="N284"/>
  <c r="BD173"/>
  <c r="AB323"/>
  <c r="AC323"/>
  <c r="AE323"/>
  <c r="AJ282"/>
  <c r="AK282"/>
  <c r="O27" i="3"/>
  <c r="AG27"/>
  <c r="AZ245" i="2"/>
  <c r="AR284"/>
  <c r="BG173"/>
  <c r="AH284"/>
  <c r="BF173"/>
  <c r="AM281"/>
  <c r="AT282"/>
  <c r="AU282"/>
  <c r="P27" i="3"/>
  <c r="AH27"/>
  <c r="BA245" i="2"/>
  <c r="P282"/>
  <c r="Q282"/>
  <c r="M27" i="3"/>
  <c r="AE27"/>
  <c r="AX245" i="2"/>
  <c r="R98"/>
  <c r="R29"/>
  <c r="AQ326"/>
  <c r="Q224" i="1"/>
  <c r="AU247" i="2"/>
  <c r="AS325"/>
  <c r="AU325"/>
  <c r="BG283"/>
  <c r="R99"/>
  <c r="AL98"/>
  <c r="AG96"/>
  <c r="S96"/>
  <c r="AB96"/>
  <c r="S27"/>
  <c r="Q92" i="1"/>
  <c r="H30" i="2"/>
  <c r="H100"/>
  <c r="H93" i="1"/>
  <c r="H226"/>
  <c r="I28" i="2"/>
  <c r="AZ175"/>
  <c r="BA175"/>
  <c r="AY176"/>
  <c r="AC282"/>
  <c r="T324"/>
  <c r="U324"/>
  <c r="W324"/>
  <c r="C270" i="1"/>
  <c r="I270"/>
  <c r="C70" i="2"/>
  <c r="I70"/>
  <c r="AC95"/>
  <c r="Z95"/>
  <c r="Y95"/>
  <c r="AA95"/>
  <c r="W95"/>
  <c r="X95"/>
  <c r="C98"/>
  <c r="I98"/>
  <c r="C324"/>
  <c r="M97"/>
  <c r="S325"/>
  <c r="O98"/>
  <c r="AI98"/>
  <c r="AI325"/>
  <c r="Q98"/>
  <c r="AK98"/>
  <c r="AA325"/>
  <c r="P98"/>
  <c r="AJ98"/>
  <c r="M323"/>
  <c r="O323"/>
  <c r="F30"/>
  <c r="F100"/>
  <c r="F225" i="1"/>
  <c r="C29" i="2"/>
  <c r="C224" i="1"/>
  <c r="L91"/>
  <c r="C92"/>
  <c r="O29" i="2"/>
  <c r="N224" i="1"/>
  <c r="Q29" i="2"/>
  <c r="Q99"/>
  <c r="AK99"/>
  <c r="P224" i="1"/>
  <c r="D29" i="2"/>
  <c r="D99"/>
  <c r="D224" i="1"/>
  <c r="E30" i="2"/>
  <c r="E100"/>
  <c r="E225" i="1"/>
  <c r="G30" i="2"/>
  <c r="G100"/>
  <c r="G225" i="1"/>
  <c r="P29" i="2"/>
  <c r="P99"/>
  <c r="AJ99"/>
  <c r="O224" i="1"/>
  <c r="N28" i="2"/>
  <c r="M223" i="1"/>
  <c r="M28" i="2"/>
  <c r="L223" i="1"/>
  <c r="AJ324" i="2"/>
  <c r="AK324"/>
  <c r="AM324"/>
  <c r="AW282"/>
  <c r="Y61" i="4"/>
  <c r="F30" i="3"/>
  <c r="P62" i="4"/>
  <c r="AA61"/>
  <c r="H30" i="3"/>
  <c r="R62" i="4"/>
  <c r="W61"/>
  <c r="D30" i="3"/>
  <c r="N62" i="4"/>
  <c r="O62"/>
  <c r="X61"/>
  <c r="E30" i="3"/>
  <c r="M62" i="4"/>
  <c r="V61"/>
  <c r="C30" i="3"/>
  <c r="Z61" i="4"/>
  <c r="G30" i="3"/>
  <c r="Q62" i="4"/>
  <c r="AB324" i="2"/>
  <c r="AC324"/>
  <c r="AE324"/>
  <c r="AM282"/>
  <c r="R285"/>
  <c r="AB285"/>
  <c r="AL285"/>
  <c r="AV285"/>
  <c r="BF285"/>
  <c r="F327"/>
  <c r="N327"/>
  <c r="V327"/>
  <c r="AD327"/>
  <c r="AL327"/>
  <c r="AT327"/>
  <c r="D659" i="1"/>
  <c r="AT248" i="2"/>
  <c r="N247"/>
  <c r="V247"/>
  <c r="AD247"/>
  <c r="F247"/>
  <c r="AL247"/>
  <c r="E323"/>
  <c r="G323"/>
  <c r="AM246"/>
  <c r="W246"/>
  <c r="G246"/>
  <c r="G174"/>
  <c r="H174"/>
  <c r="F175"/>
  <c r="AQ174"/>
  <c r="AR174"/>
  <c r="AP175"/>
  <c r="Y174"/>
  <c r="Z174"/>
  <c r="X175"/>
  <c r="AH174"/>
  <c r="AI174"/>
  <c r="AG175"/>
  <c r="P174"/>
  <c r="Q174"/>
  <c r="O175"/>
  <c r="C659" i="1"/>
  <c r="AS248" i="2"/>
  <c r="AU248"/>
  <c r="U247"/>
  <c r="E247"/>
  <c r="AK247"/>
  <c r="AC247"/>
  <c r="M247"/>
  <c r="AE246"/>
  <c r="Q28" i="3"/>
  <c r="AI28"/>
  <c r="O246" i="2"/>
  <c r="O92" i="1"/>
  <c r="F93"/>
  <c r="M91"/>
  <c r="D92"/>
  <c r="N92"/>
  <c r="E93"/>
  <c r="P92"/>
  <c r="G93"/>
  <c r="O37"/>
  <c r="T38"/>
  <c r="L34"/>
  <c r="N33"/>
  <c r="E34"/>
  <c r="F33"/>
  <c r="H286" i="2"/>
  <c r="R38" i="1"/>
  <c r="H37"/>
  <c r="S38"/>
  <c r="K37"/>
  <c r="F283" i="2"/>
  <c r="G283"/>
  <c r="L28" i="3"/>
  <c r="AD28"/>
  <c r="AW246" i="2"/>
  <c r="P283"/>
  <c r="Q283"/>
  <c r="M28" i="3"/>
  <c r="AE28"/>
  <c r="AX246" i="2"/>
  <c r="AR285"/>
  <c r="BG174"/>
  <c r="S282"/>
  <c r="BD285"/>
  <c r="BE285"/>
  <c r="AR327"/>
  <c r="BB248"/>
  <c r="AH285"/>
  <c r="BF174"/>
  <c r="Z283"/>
  <c r="AA283"/>
  <c r="N28" i="3"/>
  <c r="AF28"/>
  <c r="AY246" i="2"/>
  <c r="AT283"/>
  <c r="AU283"/>
  <c r="P28" i="3"/>
  <c r="AH28"/>
  <c r="BA246" i="2"/>
  <c r="D324"/>
  <c r="AJ283"/>
  <c r="AK283"/>
  <c r="O28" i="3"/>
  <c r="AG28"/>
  <c r="AZ246" i="2"/>
  <c r="N285"/>
  <c r="BD174"/>
  <c r="X285"/>
  <c r="BE174"/>
  <c r="D285"/>
  <c r="BC174"/>
  <c r="I282"/>
  <c r="L324"/>
  <c r="M324"/>
  <c r="O324"/>
  <c r="BB286"/>
  <c r="BH175"/>
  <c r="BD284"/>
  <c r="BE284"/>
  <c r="AR326"/>
  <c r="AS326"/>
  <c r="AU326"/>
  <c r="BB247"/>
  <c r="R30"/>
  <c r="AQ327"/>
  <c r="AS327"/>
  <c r="AU327"/>
  <c r="Q225" i="1"/>
  <c r="BG285" i="2"/>
  <c r="AL99"/>
  <c r="AG97"/>
  <c r="S97"/>
  <c r="AB97"/>
  <c r="Q93" i="1"/>
  <c r="H94"/>
  <c r="H227"/>
  <c r="H31" i="2"/>
  <c r="H101"/>
  <c r="S28"/>
  <c r="I29"/>
  <c r="AZ176"/>
  <c r="BA176"/>
  <c r="AY177"/>
  <c r="AI326"/>
  <c r="G247"/>
  <c r="AA326"/>
  <c r="W96"/>
  <c r="AM96"/>
  <c r="C271" i="1"/>
  <c r="I271"/>
  <c r="C71" i="2"/>
  <c r="I71"/>
  <c r="E324"/>
  <c r="G324"/>
  <c r="O247"/>
  <c r="AC96"/>
  <c r="AA96"/>
  <c r="Y96"/>
  <c r="Z96"/>
  <c r="X96"/>
  <c r="C325"/>
  <c r="M98"/>
  <c r="K325"/>
  <c r="N98"/>
  <c r="AH98"/>
  <c r="S326"/>
  <c r="O99"/>
  <c r="AI99"/>
  <c r="C99"/>
  <c r="I99"/>
  <c r="E31"/>
  <c r="E101"/>
  <c r="E226" i="1"/>
  <c r="Q30" i="2"/>
  <c r="Q100"/>
  <c r="AK100"/>
  <c r="P225" i="1"/>
  <c r="O30" i="2"/>
  <c r="N225" i="1"/>
  <c r="N29" i="2"/>
  <c r="M224" i="1"/>
  <c r="P30" i="2"/>
  <c r="P100"/>
  <c r="AJ100"/>
  <c r="O225" i="1"/>
  <c r="M29" i="2"/>
  <c r="L224" i="1"/>
  <c r="G31" i="2"/>
  <c r="G101"/>
  <c r="G226" i="1"/>
  <c r="D30" i="2"/>
  <c r="D100"/>
  <c r="D225" i="1"/>
  <c r="F31" i="2"/>
  <c r="F101"/>
  <c r="F226" i="1"/>
  <c r="C30" i="2"/>
  <c r="C225" i="1"/>
  <c r="C93"/>
  <c r="L92"/>
  <c r="W247" i="2"/>
  <c r="Q29" i="3"/>
  <c r="AI29"/>
  <c r="V62" i="4"/>
  <c r="C31" i="3"/>
  <c r="M63" i="4"/>
  <c r="O63"/>
  <c r="X62"/>
  <c r="E31" i="3"/>
  <c r="Z62" i="4"/>
  <c r="G31" i="3"/>
  <c r="Q63" i="4"/>
  <c r="W62"/>
  <c r="D31" i="3"/>
  <c r="N63" i="4"/>
  <c r="AA62"/>
  <c r="H31" i="3"/>
  <c r="R63" i="4"/>
  <c r="Y62"/>
  <c r="F31" i="3"/>
  <c r="P63" i="4"/>
  <c r="AE247" i="2"/>
  <c r="AM247"/>
  <c r="F328"/>
  <c r="N328"/>
  <c r="V328"/>
  <c r="AD328"/>
  <c r="AL328"/>
  <c r="AT328"/>
  <c r="R286"/>
  <c r="AB286"/>
  <c r="AL286"/>
  <c r="AV286"/>
  <c r="BF286"/>
  <c r="S283"/>
  <c r="L325"/>
  <c r="AM283"/>
  <c r="P175"/>
  <c r="Q175"/>
  <c r="O176"/>
  <c r="AH175"/>
  <c r="AI175"/>
  <c r="AG176"/>
  <c r="Y175"/>
  <c r="Z175"/>
  <c r="X176"/>
  <c r="AQ175"/>
  <c r="AR175"/>
  <c r="AP176"/>
  <c r="G175"/>
  <c r="H175"/>
  <c r="F176"/>
  <c r="AW283"/>
  <c r="AJ325"/>
  <c r="AK325"/>
  <c r="AM325"/>
  <c r="C660" i="1"/>
  <c r="AS249" i="2"/>
  <c r="AK248"/>
  <c r="U248"/>
  <c r="AC248"/>
  <c r="E248"/>
  <c r="M248"/>
  <c r="AC283"/>
  <c r="T325"/>
  <c r="U325"/>
  <c r="W325"/>
  <c r="D660" i="1"/>
  <c r="AT249" i="2"/>
  <c r="N248"/>
  <c r="F248"/>
  <c r="V248"/>
  <c r="AD248"/>
  <c r="AL248"/>
  <c r="G94" i="1"/>
  <c r="P93"/>
  <c r="E94"/>
  <c r="N93"/>
  <c r="M92"/>
  <c r="D93"/>
  <c r="O93"/>
  <c r="F94"/>
  <c r="K38"/>
  <c r="S39"/>
  <c r="K39"/>
  <c r="R39"/>
  <c r="H39"/>
  <c r="H38"/>
  <c r="E35"/>
  <c r="F34"/>
  <c r="H287" i="2"/>
  <c r="L35" i="1"/>
  <c r="N34"/>
  <c r="T39"/>
  <c r="O39"/>
  <c r="O38"/>
  <c r="AT284" i="2"/>
  <c r="AU284"/>
  <c r="P29" i="3"/>
  <c r="AH29"/>
  <c r="BA247" i="2"/>
  <c r="BB287"/>
  <c r="BH176"/>
  <c r="D325"/>
  <c r="AR286"/>
  <c r="BG175"/>
  <c r="Z284"/>
  <c r="AA284"/>
  <c r="N29" i="3"/>
  <c r="AF29"/>
  <c r="AY247" i="2"/>
  <c r="D286"/>
  <c r="BC175"/>
  <c r="X286"/>
  <c r="BE175"/>
  <c r="N286"/>
  <c r="BD175"/>
  <c r="AJ284"/>
  <c r="AK284"/>
  <c r="O29" i="3"/>
  <c r="AG29"/>
  <c r="AZ247" i="2"/>
  <c r="F284"/>
  <c r="G284"/>
  <c r="L29" i="3"/>
  <c r="AD29"/>
  <c r="AW247" i="2"/>
  <c r="AH286"/>
  <c r="BF175"/>
  <c r="I283"/>
  <c r="AB325"/>
  <c r="AC325"/>
  <c r="AE325"/>
  <c r="P284"/>
  <c r="Q284"/>
  <c r="M29" i="3"/>
  <c r="AE29"/>
  <c r="AX247" i="2"/>
  <c r="BG284"/>
  <c r="R100"/>
  <c r="R31"/>
  <c r="AQ328"/>
  <c r="Q226" i="1"/>
  <c r="AU249" i="2"/>
  <c r="AG98"/>
  <c r="S98"/>
  <c r="AB98"/>
  <c r="AL100"/>
  <c r="Q94" i="1"/>
  <c r="H32" i="2"/>
  <c r="H102"/>
  <c r="H95" i="1"/>
  <c r="H228"/>
  <c r="I30" i="2"/>
  <c r="S29"/>
  <c r="AZ177"/>
  <c r="BA177"/>
  <c r="AY178"/>
  <c r="D326"/>
  <c r="I284"/>
  <c r="S284"/>
  <c r="W97"/>
  <c r="AM97"/>
  <c r="C72"/>
  <c r="I72"/>
  <c r="M325"/>
  <c r="O325"/>
  <c r="AA327"/>
  <c r="AI327"/>
  <c r="AC97"/>
  <c r="Z97"/>
  <c r="Y97"/>
  <c r="AA97"/>
  <c r="X97"/>
  <c r="C100"/>
  <c r="I100"/>
  <c r="C326"/>
  <c r="M99"/>
  <c r="K326"/>
  <c r="N99"/>
  <c r="AH99"/>
  <c r="S327"/>
  <c r="O100"/>
  <c r="AI100"/>
  <c r="F32"/>
  <c r="F102"/>
  <c r="F227" i="1"/>
  <c r="D31" i="2"/>
  <c r="D101"/>
  <c r="D226" i="1"/>
  <c r="O31" i="2"/>
  <c r="N226" i="1"/>
  <c r="Q31" i="2"/>
  <c r="P226" i="1"/>
  <c r="C31" i="2"/>
  <c r="C226" i="1"/>
  <c r="L93"/>
  <c r="C94"/>
  <c r="P31" i="2"/>
  <c r="P101"/>
  <c r="AJ101"/>
  <c r="O226" i="1"/>
  <c r="N30" i="2"/>
  <c r="N100"/>
  <c r="AH100"/>
  <c r="M225" i="1"/>
  <c r="E32" i="2"/>
  <c r="E102"/>
  <c r="E227" i="1"/>
  <c r="G32" i="2"/>
  <c r="G102"/>
  <c r="G227" i="1"/>
  <c r="M30" i="2"/>
  <c r="L225" i="1"/>
  <c r="O64" i="4"/>
  <c r="X63"/>
  <c r="E32" i="3"/>
  <c r="P64" i="4"/>
  <c r="Y63"/>
  <c r="F32" i="3"/>
  <c r="R64" i="4"/>
  <c r="AA63"/>
  <c r="H32" i="3"/>
  <c r="N64" i="4"/>
  <c r="W63"/>
  <c r="D32" i="3"/>
  <c r="Q64" i="4"/>
  <c r="Z63"/>
  <c r="G32" i="3"/>
  <c r="V63" i="4"/>
  <c r="C32" i="3"/>
  <c r="M64" i="4"/>
  <c r="AM284" i="2"/>
  <c r="AJ326"/>
  <c r="AK326"/>
  <c r="AM326"/>
  <c r="AW284"/>
  <c r="W248"/>
  <c r="R287"/>
  <c r="AB287"/>
  <c r="AL287"/>
  <c r="AV287"/>
  <c r="BF287"/>
  <c r="F329"/>
  <c r="N329"/>
  <c r="V329"/>
  <c r="AD329"/>
  <c r="AL329"/>
  <c r="AT329"/>
  <c r="D661" i="1"/>
  <c r="AT250" i="2"/>
  <c r="F249"/>
  <c r="V249"/>
  <c r="AD249"/>
  <c r="N249"/>
  <c r="AL249"/>
  <c r="G176"/>
  <c r="H176"/>
  <c r="F177"/>
  <c r="AQ176"/>
  <c r="AR176"/>
  <c r="AP177"/>
  <c r="Y176"/>
  <c r="Z176"/>
  <c r="X177"/>
  <c r="AH176"/>
  <c r="AI176"/>
  <c r="AG177"/>
  <c r="P176"/>
  <c r="Q176"/>
  <c r="O177"/>
  <c r="Q30" i="3"/>
  <c r="AI30"/>
  <c r="AE248" i="2"/>
  <c r="AM248"/>
  <c r="C661" i="1"/>
  <c r="AS250" i="2"/>
  <c r="AC249"/>
  <c r="M249"/>
  <c r="AK249"/>
  <c r="U249"/>
  <c r="E249"/>
  <c r="E325"/>
  <c r="G325"/>
  <c r="O248"/>
  <c r="G248"/>
  <c r="O94" i="1"/>
  <c r="F95"/>
  <c r="M93"/>
  <c r="D94"/>
  <c r="N94"/>
  <c r="E95"/>
  <c r="P94"/>
  <c r="G95"/>
  <c r="L36"/>
  <c r="N35"/>
  <c r="E36"/>
  <c r="F35"/>
  <c r="H288" i="2"/>
  <c r="N287"/>
  <c r="BD176"/>
  <c r="AJ285"/>
  <c r="AK285"/>
  <c r="O30" i="3"/>
  <c r="AG30"/>
  <c r="AZ248" i="2"/>
  <c r="Z285"/>
  <c r="AA285"/>
  <c r="N30" i="3"/>
  <c r="AF30"/>
  <c r="AY248" i="2"/>
  <c r="AB326"/>
  <c r="AC326"/>
  <c r="AE326"/>
  <c r="AC284"/>
  <c r="L326"/>
  <c r="M326"/>
  <c r="O326"/>
  <c r="BB288"/>
  <c r="BH177"/>
  <c r="D287"/>
  <c r="BC176"/>
  <c r="AH287"/>
  <c r="BF176"/>
  <c r="AR287"/>
  <c r="BG176"/>
  <c r="T326"/>
  <c r="U326"/>
  <c r="W326"/>
  <c r="BD286"/>
  <c r="BE286"/>
  <c r="AR328"/>
  <c r="BB249"/>
  <c r="P285"/>
  <c r="Q285"/>
  <c r="M30" i="3"/>
  <c r="AE30"/>
  <c r="AX248" i="2"/>
  <c r="AT285"/>
  <c r="AU285"/>
  <c r="P30" i="3"/>
  <c r="AH30"/>
  <c r="BA248" i="2"/>
  <c r="X287"/>
  <c r="BE176"/>
  <c r="F285"/>
  <c r="G285"/>
  <c r="L30" i="3"/>
  <c r="AD30"/>
  <c r="AW248" i="2"/>
  <c r="R101"/>
  <c r="AL101"/>
  <c r="AU250"/>
  <c r="AS328"/>
  <c r="AU328"/>
  <c r="R32"/>
  <c r="AQ329"/>
  <c r="Q227" i="1"/>
  <c r="BG286" i="2"/>
  <c r="AG99"/>
  <c r="S99"/>
  <c r="AB99"/>
  <c r="S30"/>
  <c r="Q95" i="1"/>
  <c r="H96"/>
  <c r="H229"/>
  <c r="H33" i="2"/>
  <c r="H103"/>
  <c r="I31"/>
  <c r="AZ178"/>
  <c r="BA178"/>
  <c r="AY179"/>
  <c r="E326"/>
  <c r="G326"/>
  <c r="AC285"/>
  <c r="X98"/>
  <c r="AM98"/>
  <c r="K327"/>
  <c r="AA328"/>
  <c r="W98"/>
  <c r="AC98"/>
  <c r="Z98"/>
  <c r="Y98"/>
  <c r="AA98"/>
  <c r="C327"/>
  <c r="M100"/>
  <c r="C101"/>
  <c r="I101"/>
  <c r="AI328"/>
  <c r="Q101"/>
  <c r="AK101"/>
  <c r="S328"/>
  <c r="O101"/>
  <c r="AI101"/>
  <c r="Q32"/>
  <c r="Q102"/>
  <c r="AK102"/>
  <c r="P227" i="1"/>
  <c r="O32" i="2"/>
  <c r="N227" i="1"/>
  <c r="N31" i="2"/>
  <c r="N101"/>
  <c r="AH101"/>
  <c r="M226" i="1"/>
  <c r="P32" i="2"/>
  <c r="P102"/>
  <c r="AJ102"/>
  <c r="O227" i="1"/>
  <c r="M31" i="2"/>
  <c r="L226" i="1"/>
  <c r="G33" i="2"/>
  <c r="G103"/>
  <c r="G228" i="1"/>
  <c r="E33" i="2"/>
  <c r="E103"/>
  <c r="E228" i="1"/>
  <c r="D32" i="2"/>
  <c r="D102"/>
  <c r="D227" i="1"/>
  <c r="F33" i="2"/>
  <c r="F103"/>
  <c r="F228" i="1"/>
  <c r="C32" i="2"/>
  <c r="C227" i="1"/>
  <c r="C95"/>
  <c r="L94"/>
  <c r="Q31" i="3"/>
  <c r="AI31"/>
  <c r="T327" i="2"/>
  <c r="U327"/>
  <c r="W327"/>
  <c r="AM249"/>
  <c r="Z64" i="4"/>
  <c r="G33" i="3"/>
  <c r="Q65" i="4"/>
  <c r="N65"/>
  <c r="W64"/>
  <c r="D33" i="3"/>
  <c r="R65" i="4"/>
  <c r="AA64"/>
  <c r="H33" i="3"/>
  <c r="P65" i="4"/>
  <c r="Y64"/>
  <c r="F33" i="3"/>
  <c r="X64" i="4"/>
  <c r="E33" i="3"/>
  <c r="O65" i="4"/>
  <c r="V64"/>
  <c r="C33" i="3"/>
  <c r="M65" i="4"/>
  <c r="O249" i="2"/>
  <c r="G249"/>
  <c r="AE249"/>
  <c r="W249"/>
  <c r="S285"/>
  <c r="AW285"/>
  <c r="AJ327"/>
  <c r="AK327"/>
  <c r="AM327"/>
  <c r="F330"/>
  <c r="N330"/>
  <c r="V330"/>
  <c r="AD330"/>
  <c r="AL330"/>
  <c r="AT330"/>
  <c r="R288"/>
  <c r="AB288"/>
  <c r="AL288"/>
  <c r="AV288"/>
  <c r="BF288"/>
  <c r="D327"/>
  <c r="I285"/>
  <c r="C662" i="1"/>
  <c r="AS251" i="2"/>
  <c r="AK250"/>
  <c r="M250"/>
  <c r="E250"/>
  <c r="U250"/>
  <c r="AC250"/>
  <c r="AM285"/>
  <c r="AB327"/>
  <c r="AC327"/>
  <c r="AE327"/>
  <c r="P177"/>
  <c r="Q177"/>
  <c r="O178"/>
  <c r="AH177"/>
  <c r="AI177"/>
  <c r="AG178"/>
  <c r="Y177"/>
  <c r="Z177"/>
  <c r="X178"/>
  <c r="AQ177"/>
  <c r="AR177"/>
  <c r="AP178"/>
  <c r="G177"/>
  <c r="H177"/>
  <c r="F178"/>
  <c r="D662" i="1"/>
  <c r="AT251" i="2"/>
  <c r="F250"/>
  <c r="N250"/>
  <c r="V250"/>
  <c r="AD250"/>
  <c r="AL250"/>
  <c r="G96" i="1"/>
  <c r="P95"/>
  <c r="E96"/>
  <c r="E229"/>
  <c r="N95"/>
  <c r="M94"/>
  <c r="D95"/>
  <c r="O95"/>
  <c r="F96"/>
  <c r="E37"/>
  <c r="F36"/>
  <c r="H289" i="2"/>
  <c r="L37" i="1"/>
  <c r="N36"/>
  <c r="AR288" i="2"/>
  <c r="BG177"/>
  <c r="AH288"/>
  <c r="BF177"/>
  <c r="AJ286"/>
  <c r="AK286"/>
  <c r="O31" i="3"/>
  <c r="AG31"/>
  <c r="AZ249" i="2"/>
  <c r="BB289"/>
  <c r="BH178"/>
  <c r="BD287"/>
  <c r="BE287"/>
  <c r="AR329"/>
  <c r="AS329"/>
  <c r="AU329"/>
  <c r="L327"/>
  <c r="F286"/>
  <c r="G286"/>
  <c r="L31" i="3"/>
  <c r="AD31"/>
  <c r="AW249" i="2"/>
  <c r="D288"/>
  <c r="BC177"/>
  <c r="X288"/>
  <c r="BE177"/>
  <c r="N288"/>
  <c r="BD177"/>
  <c r="P286"/>
  <c r="Q286"/>
  <c r="M31" i="3"/>
  <c r="AE31"/>
  <c r="AX249" i="2"/>
  <c r="R102"/>
  <c r="AL102"/>
  <c r="BB250"/>
  <c r="Z286"/>
  <c r="AA286"/>
  <c r="N31" i="3"/>
  <c r="AF31"/>
  <c r="AY249" i="2"/>
  <c r="AT286"/>
  <c r="AU286"/>
  <c r="P31" i="3"/>
  <c r="AH31"/>
  <c r="BA249" i="2"/>
  <c r="BG287"/>
  <c r="R33"/>
  <c r="AQ330"/>
  <c r="Q228" i="1"/>
  <c r="AU251" i="2"/>
  <c r="AG100"/>
  <c r="S100"/>
  <c r="AB100"/>
  <c r="I32"/>
  <c r="S31"/>
  <c r="Q96" i="1"/>
  <c r="H34" i="2"/>
  <c r="H104"/>
  <c r="H97" i="1"/>
  <c r="H230"/>
  <c r="AZ179" i="2"/>
  <c r="BA179"/>
  <c r="AY180"/>
  <c r="M327"/>
  <c r="O327"/>
  <c r="K328"/>
  <c r="X99"/>
  <c r="AM99"/>
  <c r="AC99"/>
  <c r="AA99"/>
  <c r="Z99"/>
  <c r="Y99"/>
  <c r="AI329"/>
  <c r="W99"/>
  <c r="AA329"/>
  <c r="C102"/>
  <c r="I102"/>
  <c r="C328"/>
  <c r="M101"/>
  <c r="S329"/>
  <c r="O102"/>
  <c r="AI102"/>
  <c r="P33"/>
  <c r="O228" i="1"/>
  <c r="N32" i="2"/>
  <c r="N102"/>
  <c r="AH102"/>
  <c r="M227" i="1"/>
  <c r="G34" i="2"/>
  <c r="G104"/>
  <c r="G229" i="1"/>
  <c r="C33" i="2"/>
  <c r="C228" i="1"/>
  <c r="L95"/>
  <c r="C96"/>
  <c r="F34" i="2"/>
  <c r="F104"/>
  <c r="F229" i="1"/>
  <c r="D33" i="2"/>
  <c r="D103"/>
  <c r="D228" i="1"/>
  <c r="O33" i="2"/>
  <c r="N228" i="1"/>
  <c r="Q33" i="2"/>
  <c r="P228" i="1"/>
  <c r="M32" i="2"/>
  <c r="S32"/>
  <c r="L227" i="1"/>
  <c r="AW286" i="2"/>
  <c r="I286"/>
  <c r="AJ328"/>
  <c r="AK328"/>
  <c r="AM328"/>
  <c r="L328"/>
  <c r="S286"/>
  <c r="AB328"/>
  <c r="AC328"/>
  <c r="AE328"/>
  <c r="AM286"/>
  <c r="P66" i="4"/>
  <c r="Y65"/>
  <c r="F34" i="3"/>
  <c r="R66" i="4"/>
  <c r="AA65"/>
  <c r="H34" i="3"/>
  <c r="N66" i="4"/>
  <c r="W65"/>
  <c r="D34" i="3"/>
  <c r="V65" i="4"/>
  <c r="C34" i="3"/>
  <c r="M66" i="4"/>
  <c r="O66"/>
  <c r="X65"/>
  <c r="E34" i="3"/>
  <c r="Q66" i="4"/>
  <c r="Z65"/>
  <c r="G34" i="3"/>
  <c r="D328" i="2"/>
  <c r="D663" i="1"/>
  <c r="AT252" i="2"/>
  <c r="N251"/>
  <c r="V251"/>
  <c r="F251"/>
  <c r="AD251"/>
  <c r="AL251"/>
  <c r="Q32" i="3"/>
  <c r="AI32"/>
  <c r="G250" i="2"/>
  <c r="AM250"/>
  <c r="R289"/>
  <c r="AB289"/>
  <c r="AL289"/>
  <c r="AV289"/>
  <c r="BF289"/>
  <c r="F331"/>
  <c r="N331"/>
  <c r="V331"/>
  <c r="AD331"/>
  <c r="AL331"/>
  <c r="AT331"/>
  <c r="G178"/>
  <c r="H178"/>
  <c r="F179"/>
  <c r="AQ178"/>
  <c r="AR178"/>
  <c r="AP179"/>
  <c r="Y178"/>
  <c r="Z178"/>
  <c r="X179"/>
  <c r="AH178"/>
  <c r="AI178"/>
  <c r="AG179"/>
  <c r="P178"/>
  <c r="Q178"/>
  <c r="O179"/>
  <c r="C663" i="1"/>
  <c r="AS252" i="2"/>
  <c r="AK251"/>
  <c r="U251"/>
  <c r="AC251"/>
  <c r="M251"/>
  <c r="E251"/>
  <c r="E327"/>
  <c r="G327"/>
  <c r="AE250"/>
  <c r="W250"/>
  <c r="O250"/>
  <c r="E34"/>
  <c r="E104"/>
  <c r="O96" i="1"/>
  <c r="O229"/>
  <c r="F97"/>
  <c r="M95"/>
  <c r="D96"/>
  <c r="D229"/>
  <c r="N96"/>
  <c r="E97"/>
  <c r="E230"/>
  <c r="P96"/>
  <c r="P229"/>
  <c r="G97"/>
  <c r="L38"/>
  <c r="N37"/>
  <c r="E38"/>
  <c r="F37"/>
  <c r="H290" i="2"/>
  <c r="BB290"/>
  <c r="BH179"/>
  <c r="N289"/>
  <c r="BD178"/>
  <c r="X289"/>
  <c r="BE178"/>
  <c r="D289"/>
  <c r="BC178"/>
  <c r="F287"/>
  <c r="G287"/>
  <c r="L32" i="3"/>
  <c r="AD32"/>
  <c r="AW250" i="2"/>
  <c r="AC286"/>
  <c r="BD288"/>
  <c r="BE288"/>
  <c r="AR330"/>
  <c r="BB251"/>
  <c r="P287"/>
  <c r="Q287"/>
  <c r="M32" i="3"/>
  <c r="AE32"/>
  <c r="AX250" i="2"/>
  <c r="T328"/>
  <c r="U328"/>
  <c r="W328"/>
  <c r="AJ287"/>
  <c r="AK287"/>
  <c r="O32" i="3"/>
  <c r="AG32"/>
  <c r="AZ250" i="2"/>
  <c r="AT287"/>
  <c r="AU287"/>
  <c r="P32" i="3"/>
  <c r="AH32"/>
  <c r="BA250" i="2"/>
  <c r="Z287"/>
  <c r="AA287"/>
  <c r="N32" i="3"/>
  <c r="AF32"/>
  <c r="AY250" i="2"/>
  <c r="AH289"/>
  <c r="BF178"/>
  <c r="AR289"/>
  <c r="BG178"/>
  <c r="R103"/>
  <c r="AL103"/>
  <c r="AS330"/>
  <c r="AU330"/>
  <c r="R34"/>
  <c r="R104"/>
  <c r="Q229" i="1"/>
  <c r="AU252" i="2"/>
  <c r="AG101"/>
  <c r="S101"/>
  <c r="AB101"/>
  <c r="I33"/>
  <c r="Q97" i="1"/>
  <c r="H98"/>
  <c r="H231"/>
  <c r="H35" i="2"/>
  <c r="H105"/>
  <c r="E328"/>
  <c r="G328"/>
  <c r="AZ180"/>
  <c r="BA180"/>
  <c r="AY181"/>
  <c r="AZ181"/>
  <c r="BA181"/>
  <c r="M328"/>
  <c r="O328"/>
  <c r="W100"/>
  <c r="AM100"/>
  <c r="K329"/>
  <c r="AM251"/>
  <c r="AC100"/>
  <c r="AA100"/>
  <c r="Z100"/>
  <c r="X100"/>
  <c r="Y100"/>
  <c r="C329"/>
  <c r="M102"/>
  <c r="AI330"/>
  <c r="Q103"/>
  <c r="AK103"/>
  <c r="S330"/>
  <c r="O103"/>
  <c r="AI103"/>
  <c r="C103"/>
  <c r="I103"/>
  <c r="AA330"/>
  <c r="P103"/>
  <c r="AJ103"/>
  <c r="O34"/>
  <c r="O104"/>
  <c r="AI104"/>
  <c r="N229" i="1"/>
  <c r="F35" i="2"/>
  <c r="F105"/>
  <c r="F230" i="1"/>
  <c r="M33" i="2"/>
  <c r="L228" i="1"/>
  <c r="G35" i="2"/>
  <c r="G105"/>
  <c r="G230" i="1"/>
  <c r="N33" i="2"/>
  <c r="N103"/>
  <c r="AH103"/>
  <c r="M228" i="1"/>
  <c r="C229"/>
  <c r="C34" i="2"/>
  <c r="L96" i="1"/>
  <c r="C97"/>
  <c r="G251" i="2"/>
  <c r="AE251"/>
  <c r="W251"/>
  <c r="Z66" i="4"/>
  <c r="G35" i="3"/>
  <c r="Q67" i="4"/>
  <c r="O67"/>
  <c r="X66"/>
  <c r="E35" i="3"/>
  <c r="W66" i="4"/>
  <c r="D35" i="3"/>
  <c r="N67" i="4"/>
  <c r="AA66"/>
  <c r="H35" i="3"/>
  <c r="R67" i="4"/>
  <c r="Y66"/>
  <c r="F35" i="3"/>
  <c r="P67" i="4"/>
  <c r="V66"/>
  <c r="C35" i="3"/>
  <c r="M67" i="4"/>
  <c r="O251" i="2"/>
  <c r="Q33" i="3"/>
  <c r="AI33"/>
  <c r="F332" i="2"/>
  <c r="N332"/>
  <c r="V332"/>
  <c r="AD332"/>
  <c r="AL332"/>
  <c r="AT332"/>
  <c r="R290"/>
  <c r="AB290"/>
  <c r="AL290"/>
  <c r="AV290"/>
  <c r="BF290"/>
  <c r="S287"/>
  <c r="L329"/>
  <c r="AM287"/>
  <c r="AB329"/>
  <c r="AC329"/>
  <c r="AE329"/>
  <c r="P179"/>
  <c r="Q179"/>
  <c r="O180"/>
  <c r="AH179"/>
  <c r="AI179"/>
  <c r="AG180"/>
  <c r="Y179"/>
  <c r="Z179"/>
  <c r="X180"/>
  <c r="AQ179"/>
  <c r="AR179"/>
  <c r="AP180"/>
  <c r="G179"/>
  <c r="H179"/>
  <c r="F180"/>
  <c r="D329"/>
  <c r="I287"/>
  <c r="D664" i="1"/>
  <c r="AT253" i="2"/>
  <c r="F252"/>
  <c r="V252"/>
  <c r="N252"/>
  <c r="AL252"/>
  <c r="AD252"/>
  <c r="AC287"/>
  <c r="T329"/>
  <c r="U329"/>
  <c r="W329"/>
  <c r="C664" i="1"/>
  <c r="AS253" i="2"/>
  <c r="AU253"/>
  <c r="U252"/>
  <c r="AC252"/>
  <c r="E252"/>
  <c r="AK252"/>
  <c r="M252"/>
  <c r="AW287"/>
  <c r="AJ329"/>
  <c r="AK329"/>
  <c r="AM329"/>
  <c r="D34"/>
  <c r="D104"/>
  <c r="E35"/>
  <c r="E105"/>
  <c r="Q34"/>
  <c r="Q104"/>
  <c r="AK104"/>
  <c r="P34"/>
  <c r="P104"/>
  <c r="AJ104"/>
  <c r="G98" i="1"/>
  <c r="P97"/>
  <c r="P230"/>
  <c r="E98"/>
  <c r="E231"/>
  <c r="N97"/>
  <c r="M96"/>
  <c r="D97"/>
  <c r="D230"/>
  <c r="O97"/>
  <c r="O230"/>
  <c r="F98"/>
  <c r="E39"/>
  <c r="F39"/>
  <c r="H292" i="2"/>
  <c r="F38" i="1"/>
  <c r="H291" i="2"/>
  <c r="L39" i="1"/>
  <c r="N39"/>
  <c r="N38"/>
  <c r="F288" i="2"/>
  <c r="G288"/>
  <c r="L33" i="3"/>
  <c r="AD33"/>
  <c r="AW251" i="2"/>
  <c r="BD289"/>
  <c r="BE289"/>
  <c r="AR331"/>
  <c r="BB252"/>
  <c r="BD290"/>
  <c r="BE290"/>
  <c r="AR332"/>
  <c r="BB253"/>
  <c r="D290"/>
  <c r="BC179"/>
  <c r="X290"/>
  <c r="BE179"/>
  <c r="N290"/>
  <c r="BD179"/>
  <c r="P288"/>
  <c r="Q288"/>
  <c r="M33" i="3"/>
  <c r="AE33"/>
  <c r="AX251" i="2"/>
  <c r="AT288"/>
  <c r="AU288"/>
  <c r="P33" i="3"/>
  <c r="AH33"/>
  <c r="BA251" i="2"/>
  <c r="AQ331"/>
  <c r="BG288"/>
  <c r="Z288"/>
  <c r="AA288"/>
  <c r="N33" i="3"/>
  <c r="AF33"/>
  <c r="AY251" i="2"/>
  <c r="BB292"/>
  <c r="BH181"/>
  <c r="AR290"/>
  <c r="BG179"/>
  <c r="AH290"/>
  <c r="BF179"/>
  <c r="AJ288"/>
  <c r="AK288"/>
  <c r="O33" i="3"/>
  <c r="AG33"/>
  <c r="AZ251" i="2"/>
  <c r="BB291"/>
  <c r="BH180"/>
  <c r="R35"/>
  <c r="Q230" i="1"/>
  <c r="AS331" i="2"/>
  <c r="AU331"/>
  <c r="BG289"/>
  <c r="BC296"/>
  <c r="BA296"/>
  <c r="AQ332"/>
  <c r="AS332"/>
  <c r="AU332"/>
  <c r="R105"/>
  <c r="AG102"/>
  <c r="S102"/>
  <c r="AB102"/>
  <c r="BB296"/>
  <c r="AL104"/>
  <c r="Q98" i="1"/>
  <c r="H36" i="2"/>
  <c r="H106"/>
  <c r="H99" i="1"/>
  <c r="H232"/>
  <c r="S33" i="2"/>
  <c r="I34"/>
  <c r="S331"/>
  <c r="S288"/>
  <c r="AC288"/>
  <c r="K330"/>
  <c r="W101"/>
  <c r="AM101"/>
  <c r="M329"/>
  <c r="O329"/>
  <c r="AJ330"/>
  <c r="AK330"/>
  <c r="AM330"/>
  <c r="AW288"/>
  <c r="AC101"/>
  <c r="Z101"/>
  <c r="AA101"/>
  <c r="Y101"/>
  <c r="X101"/>
  <c r="C104"/>
  <c r="I104"/>
  <c r="C330"/>
  <c r="M103"/>
  <c r="W252"/>
  <c r="O252"/>
  <c r="F36"/>
  <c r="F106"/>
  <c r="F231" i="1"/>
  <c r="N34" i="2"/>
  <c r="M229" i="1"/>
  <c r="O35" i="2"/>
  <c r="O105"/>
  <c r="AI105"/>
  <c r="N230" i="1"/>
  <c r="M34" i="2"/>
  <c r="L229" i="1"/>
  <c r="G36" i="2"/>
  <c r="G106"/>
  <c r="G231" i="1"/>
  <c r="C230"/>
  <c r="C35" i="2"/>
  <c r="L97" i="1"/>
  <c r="C98"/>
  <c r="D330" i="2"/>
  <c r="AB330"/>
  <c r="AC330"/>
  <c r="AE330"/>
  <c r="AM288"/>
  <c r="I288"/>
  <c r="T330"/>
  <c r="U330"/>
  <c r="W330"/>
  <c r="AE252"/>
  <c r="O68" i="4"/>
  <c r="X68"/>
  <c r="E37" i="3"/>
  <c r="X67" i="4"/>
  <c r="E36" i="3"/>
  <c r="V67" i="4"/>
  <c r="C36" i="3"/>
  <c r="M68" i="4"/>
  <c r="V68"/>
  <c r="C37" i="3"/>
  <c r="Y67" i="4"/>
  <c r="F36" i="3"/>
  <c r="P68" i="4"/>
  <c r="Y68"/>
  <c r="F37" i="3"/>
  <c r="AA67" i="4"/>
  <c r="H36" i="3"/>
  <c r="R68" i="4"/>
  <c r="AA68"/>
  <c r="H37" i="3"/>
  <c r="W67" i="4"/>
  <c r="D36" i="3"/>
  <c r="N68" i="4"/>
  <c r="W68"/>
  <c r="D37" i="3"/>
  <c r="Q68" i="4"/>
  <c r="Z68"/>
  <c r="G37" i="3"/>
  <c r="Z67" i="4"/>
  <c r="G36" i="3"/>
  <c r="L330" i="2"/>
  <c r="AI331"/>
  <c r="AM252"/>
  <c r="Q34" i="3"/>
  <c r="AI34"/>
  <c r="AA331" i="2"/>
  <c r="F334"/>
  <c r="N334"/>
  <c r="V334"/>
  <c r="AD334"/>
  <c r="AL334"/>
  <c r="AT334"/>
  <c r="R292"/>
  <c r="AB292"/>
  <c r="AL292"/>
  <c r="AV292"/>
  <c r="BF292"/>
  <c r="AS296"/>
  <c r="AG296"/>
  <c r="E296"/>
  <c r="AQ296"/>
  <c r="AI296"/>
  <c r="W296"/>
  <c r="C296"/>
  <c r="Y296"/>
  <c r="F181"/>
  <c r="G181"/>
  <c r="H181"/>
  <c r="G180"/>
  <c r="H180"/>
  <c r="AQ180"/>
  <c r="AR180"/>
  <c r="AP181"/>
  <c r="AQ181"/>
  <c r="AR181"/>
  <c r="Y180"/>
  <c r="Z180"/>
  <c r="X181"/>
  <c r="Y181"/>
  <c r="Z181"/>
  <c r="AH180"/>
  <c r="AI180"/>
  <c r="AG181"/>
  <c r="AH181"/>
  <c r="AI181"/>
  <c r="P180"/>
  <c r="Q180"/>
  <c r="O181"/>
  <c r="P181"/>
  <c r="Q181"/>
  <c r="G252"/>
  <c r="R291"/>
  <c r="AB291"/>
  <c r="AL291"/>
  <c r="AV291"/>
  <c r="BF291"/>
  <c r="F333"/>
  <c r="N333"/>
  <c r="V333"/>
  <c r="AD333"/>
  <c r="AL333"/>
  <c r="AT333"/>
  <c r="C665" i="1"/>
  <c r="AS254" i="2"/>
  <c r="AC253"/>
  <c r="M253"/>
  <c r="AK253"/>
  <c r="U253"/>
  <c r="E253"/>
  <c r="D665" i="1"/>
  <c r="AT254" i="2"/>
  <c r="F253"/>
  <c r="V253"/>
  <c r="AD253"/>
  <c r="N253"/>
  <c r="AL253"/>
  <c r="E329"/>
  <c r="G329"/>
  <c r="P35"/>
  <c r="P105"/>
  <c r="AJ105"/>
  <c r="E36"/>
  <c r="E106"/>
  <c r="D35"/>
  <c r="D105"/>
  <c r="Q35"/>
  <c r="Q105"/>
  <c r="AK105"/>
  <c r="O98" i="1"/>
  <c r="O231"/>
  <c r="F99"/>
  <c r="F232"/>
  <c r="M97"/>
  <c r="D98"/>
  <c r="D231"/>
  <c r="N98"/>
  <c r="E99"/>
  <c r="E232"/>
  <c r="P98"/>
  <c r="P231"/>
  <c r="G99"/>
  <c r="G232"/>
  <c r="N292" i="2"/>
  <c r="BD181"/>
  <c r="X292"/>
  <c r="BE181"/>
  <c r="D291"/>
  <c r="BC180"/>
  <c r="N291"/>
  <c r="BD180"/>
  <c r="X291"/>
  <c r="BE180"/>
  <c r="D292"/>
  <c r="BC181"/>
  <c r="AJ289"/>
  <c r="AK289"/>
  <c r="O34" i="3"/>
  <c r="AG34"/>
  <c r="AZ252" i="2"/>
  <c r="P289"/>
  <c r="Q289"/>
  <c r="M34" i="3"/>
  <c r="AE34"/>
  <c r="AX252" i="2"/>
  <c r="BG290"/>
  <c r="AH292"/>
  <c r="BF181"/>
  <c r="AR292"/>
  <c r="BG181"/>
  <c r="AT289"/>
  <c r="AU289"/>
  <c r="P34" i="3"/>
  <c r="AH34"/>
  <c r="BA252" i="2"/>
  <c r="Z289"/>
  <c r="AA289"/>
  <c r="N34" i="3"/>
  <c r="AF34"/>
  <c r="AY252" i="2"/>
  <c r="F289"/>
  <c r="G289"/>
  <c r="L34" i="3"/>
  <c r="AD34"/>
  <c r="AW252" i="2"/>
  <c r="AH291"/>
  <c r="AH296"/>
  <c r="BF180"/>
  <c r="AR291"/>
  <c r="BG180"/>
  <c r="R36"/>
  <c r="AQ333"/>
  <c r="Q231" i="1"/>
  <c r="AU254" i="2"/>
  <c r="AL105"/>
  <c r="AG103"/>
  <c r="S103"/>
  <c r="AB103"/>
  <c r="H37"/>
  <c r="H107"/>
  <c r="Q99" i="1"/>
  <c r="S34" i="2"/>
  <c r="I35"/>
  <c r="T331"/>
  <c r="U331"/>
  <c r="W331"/>
  <c r="S289"/>
  <c r="M330"/>
  <c r="O330"/>
  <c r="W102"/>
  <c r="AM102"/>
  <c r="E330"/>
  <c r="G330"/>
  <c r="S332"/>
  <c r="AC102"/>
  <c r="Z102"/>
  <c r="AA102"/>
  <c r="X102"/>
  <c r="Y102"/>
  <c r="C105"/>
  <c r="I105"/>
  <c r="C331"/>
  <c r="M104"/>
  <c r="K331"/>
  <c r="N104"/>
  <c r="AH104"/>
  <c r="L331"/>
  <c r="AC289"/>
  <c r="M35"/>
  <c r="L230" i="1"/>
  <c r="O36" i="2"/>
  <c r="N231" i="1"/>
  <c r="N35" i="2"/>
  <c r="M230" i="1"/>
  <c r="C231"/>
  <c r="C36" i="2"/>
  <c r="C99" i="1"/>
  <c r="L98"/>
  <c r="AJ331" i="2"/>
  <c r="AK331"/>
  <c r="AM331"/>
  <c r="AB331"/>
  <c r="AC331"/>
  <c r="AE331"/>
  <c r="AW289"/>
  <c r="AI332"/>
  <c r="AA332"/>
  <c r="D666" i="1"/>
  <c r="AT255" i="2"/>
  <c r="F254"/>
  <c r="N254"/>
  <c r="V254"/>
  <c r="AD254"/>
  <c r="AL254"/>
  <c r="X296"/>
  <c r="AR296"/>
  <c r="W253"/>
  <c r="Q35" i="3"/>
  <c r="AI35"/>
  <c r="AE253" i="2"/>
  <c r="C666" i="1"/>
  <c r="AS255" i="2"/>
  <c r="AU255"/>
  <c r="AK254"/>
  <c r="M254"/>
  <c r="E254"/>
  <c r="U254"/>
  <c r="AC254"/>
  <c r="I289"/>
  <c r="D296"/>
  <c r="G253"/>
  <c r="AM253"/>
  <c r="O253"/>
  <c r="O99" i="1"/>
  <c r="O232"/>
  <c r="F37" i="2"/>
  <c r="F107"/>
  <c r="Q36"/>
  <c r="Q106"/>
  <c r="AK106"/>
  <c r="P36"/>
  <c r="P106"/>
  <c r="AJ106"/>
  <c r="P99" i="1"/>
  <c r="P232"/>
  <c r="G37" i="2"/>
  <c r="G107"/>
  <c r="N99" i="1"/>
  <c r="E37" i="2"/>
  <c r="E107"/>
  <c r="D36"/>
  <c r="D106"/>
  <c r="M98" i="1"/>
  <c r="D99"/>
  <c r="D232"/>
  <c r="BD292" i="2"/>
  <c r="BE292"/>
  <c r="AR334"/>
  <c r="BB255"/>
  <c r="P290"/>
  <c r="Q290"/>
  <c r="M35" i="3"/>
  <c r="AE35"/>
  <c r="AX253" i="2"/>
  <c r="AJ290"/>
  <c r="AK290"/>
  <c r="O35" i="3"/>
  <c r="AG35"/>
  <c r="AZ253" i="2"/>
  <c r="AT290"/>
  <c r="AU290"/>
  <c r="P35" i="3"/>
  <c r="AH35"/>
  <c r="BA253" i="2"/>
  <c r="D331"/>
  <c r="AM289"/>
  <c r="F290"/>
  <c r="G290"/>
  <c r="L35" i="3"/>
  <c r="AD35"/>
  <c r="AW253" i="2"/>
  <c r="Z290"/>
  <c r="AA290"/>
  <c r="N35" i="3"/>
  <c r="AF35"/>
  <c r="AY253" i="2"/>
  <c r="BD291"/>
  <c r="BB254"/>
  <c r="R106"/>
  <c r="AL106"/>
  <c r="R37"/>
  <c r="Q232" i="1"/>
  <c r="BE291" i="2"/>
  <c r="BD296"/>
  <c r="BE296"/>
  <c r="BB297"/>
  <c r="BG292"/>
  <c r="AG104"/>
  <c r="S104"/>
  <c r="AB104"/>
  <c r="AQ334"/>
  <c r="R107"/>
  <c r="S35"/>
  <c r="I36"/>
  <c r="M331"/>
  <c r="O331"/>
  <c r="W103"/>
  <c r="AM103"/>
  <c r="AC103"/>
  <c r="Y103"/>
  <c r="Z103"/>
  <c r="AA103"/>
  <c r="X103"/>
  <c r="C106"/>
  <c r="I106"/>
  <c r="K332"/>
  <c r="N105"/>
  <c r="AH105"/>
  <c r="S333"/>
  <c r="O106"/>
  <c r="AI106"/>
  <c r="C332"/>
  <c r="M105"/>
  <c r="O37"/>
  <c r="O107"/>
  <c r="AI107"/>
  <c r="N232" i="1"/>
  <c r="C232"/>
  <c r="C37" i="2"/>
  <c r="L99" i="1"/>
  <c r="N36" i="2"/>
  <c r="N106"/>
  <c r="AH106"/>
  <c r="M231" i="1"/>
  <c r="M36" i="2"/>
  <c r="L231" i="1"/>
  <c r="G254" i="2"/>
  <c r="W254"/>
  <c r="AA333"/>
  <c r="Q36" i="3"/>
  <c r="AI36"/>
  <c r="AI333" i="2"/>
  <c r="O254"/>
  <c r="S290"/>
  <c r="L332"/>
  <c r="D332"/>
  <c r="I290"/>
  <c r="U255"/>
  <c r="AK255"/>
  <c r="AC255"/>
  <c r="M255"/>
  <c r="E255"/>
  <c r="N255"/>
  <c r="V255"/>
  <c r="F255"/>
  <c r="AD255"/>
  <c r="AL255"/>
  <c r="AW290"/>
  <c r="AJ332"/>
  <c r="AK332"/>
  <c r="AM332"/>
  <c r="E331"/>
  <c r="G331"/>
  <c r="AM290"/>
  <c r="AB332"/>
  <c r="AC332"/>
  <c r="AE332"/>
  <c r="AC290"/>
  <c r="T332"/>
  <c r="U332"/>
  <c r="W332"/>
  <c r="AM254"/>
  <c r="AE254"/>
  <c r="P37"/>
  <c r="P107"/>
  <c r="AJ107"/>
  <c r="M99" i="1"/>
  <c r="D37" i="2"/>
  <c r="D107"/>
  <c r="Q37"/>
  <c r="Q107"/>
  <c r="AK107"/>
  <c r="AT291"/>
  <c r="AU291"/>
  <c r="P36" i="3"/>
  <c r="AH36"/>
  <c r="BA254" i="2"/>
  <c r="P291"/>
  <c r="Q291"/>
  <c r="M36" i="3"/>
  <c r="AE36"/>
  <c r="AX254" i="2"/>
  <c r="Z291"/>
  <c r="AA291"/>
  <c r="N36" i="3"/>
  <c r="AF36"/>
  <c r="AY254" i="2"/>
  <c r="AJ291"/>
  <c r="AK291"/>
  <c r="O36" i="3"/>
  <c r="AG36"/>
  <c r="AZ254" i="2"/>
  <c r="F291"/>
  <c r="G291"/>
  <c r="L36" i="3"/>
  <c r="AD36"/>
  <c r="AW254" i="2"/>
  <c r="AR333"/>
  <c r="AS333"/>
  <c r="AU333"/>
  <c r="BG291"/>
  <c r="BD297"/>
  <c r="BA297"/>
  <c r="BC297"/>
  <c r="AG105"/>
  <c r="S105"/>
  <c r="AB105"/>
  <c r="AS337"/>
  <c r="AS334"/>
  <c r="AL107"/>
  <c r="S36"/>
  <c r="I37"/>
  <c r="X104"/>
  <c r="AM104"/>
  <c r="K333"/>
  <c r="D333"/>
  <c r="AC104"/>
  <c r="AA104"/>
  <c r="Z104"/>
  <c r="Y104"/>
  <c r="M332"/>
  <c r="O332"/>
  <c r="S334"/>
  <c r="W104"/>
  <c r="C333"/>
  <c r="M106"/>
  <c r="C107"/>
  <c r="I107"/>
  <c r="N37"/>
  <c r="N107"/>
  <c r="AH107"/>
  <c r="M232" i="1"/>
  <c r="M37" i="2"/>
  <c r="L232" i="1"/>
  <c r="I291" i="2"/>
  <c r="T333"/>
  <c r="U333"/>
  <c r="W333"/>
  <c r="L333"/>
  <c r="AC291"/>
  <c r="G255"/>
  <c r="AA334"/>
  <c r="AI334"/>
  <c r="S291"/>
  <c r="O255"/>
  <c r="AM291"/>
  <c r="AB333"/>
  <c r="AC333"/>
  <c r="AE333"/>
  <c r="AW291"/>
  <c r="AJ333"/>
  <c r="AK333"/>
  <c r="AM333"/>
  <c r="E332"/>
  <c r="G332"/>
  <c r="AM255"/>
  <c r="AE255"/>
  <c r="W255"/>
  <c r="P292"/>
  <c r="Q292"/>
  <c r="M37" i="3"/>
  <c r="AE37"/>
  <c r="AX255" i="2"/>
  <c r="F292"/>
  <c r="G292"/>
  <c r="L37" i="3"/>
  <c r="AD37"/>
  <c r="AW255" i="2"/>
  <c r="AJ292"/>
  <c r="AJ296"/>
  <c r="AZ255"/>
  <c r="AT292"/>
  <c r="BA255"/>
  <c r="Z292"/>
  <c r="AA292"/>
  <c r="N37" i="3"/>
  <c r="AF37"/>
  <c r="AY255" i="2"/>
  <c r="AG106"/>
  <c r="S106"/>
  <c r="AB106"/>
  <c r="AU334"/>
  <c r="AQ337"/>
  <c r="AR337"/>
  <c r="S37"/>
  <c r="M333"/>
  <c r="O333"/>
  <c r="W105"/>
  <c r="AM105"/>
  <c r="K334"/>
  <c r="E333"/>
  <c r="G333"/>
  <c r="F296"/>
  <c r="G296"/>
  <c r="F297"/>
  <c r="AM106"/>
  <c r="AC105"/>
  <c r="Y105"/>
  <c r="Z105"/>
  <c r="AA105"/>
  <c r="X105"/>
  <c r="C334"/>
  <c r="M107"/>
  <c r="Z296"/>
  <c r="Q37" i="3"/>
  <c r="AI37"/>
  <c r="AT296" i="2"/>
  <c r="AU292"/>
  <c r="P37" i="3"/>
  <c r="AH37"/>
  <c r="S292" i="2"/>
  <c r="L334"/>
  <c r="D334"/>
  <c r="I292"/>
  <c r="AK292"/>
  <c r="O37" i="3"/>
  <c r="AG37"/>
  <c r="AG107" i="2"/>
  <c r="S107"/>
  <c r="AB107"/>
  <c r="AC106"/>
  <c r="AA106"/>
  <c r="Z106"/>
  <c r="Y106"/>
  <c r="X106"/>
  <c r="W106"/>
  <c r="E334"/>
  <c r="D337"/>
  <c r="E337"/>
  <c r="AK296"/>
  <c r="AU296"/>
  <c r="AA296"/>
  <c r="M334"/>
  <c r="AB334"/>
  <c r="E297"/>
  <c r="C297"/>
  <c r="D297"/>
  <c r="AW292"/>
  <c r="AJ334"/>
  <c r="AC292"/>
  <c r="T334"/>
  <c r="AM292"/>
  <c r="W107"/>
  <c r="AM107"/>
  <c r="AC107"/>
  <c r="Z107"/>
  <c r="AA107"/>
  <c r="Y107"/>
  <c r="X107"/>
  <c r="G334"/>
  <c r="C337"/>
  <c r="U334"/>
  <c r="U337"/>
  <c r="AK334"/>
  <c r="AK337"/>
  <c r="AC334"/>
  <c r="AC337"/>
  <c r="X297"/>
  <c r="Y297"/>
  <c r="W297"/>
  <c r="AQ297"/>
  <c r="AS297"/>
  <c r="AR297"/>
  <c r="AH297"/>
  <c r="AG297"/>
  <c r="AI297"/>
  <c r="O334"/>
  <c r="Z297"/>
  <c r="AT297"/>
  <c r="AJ297"/>
  <c r="AE334"/>
  <c r="AA337"/>
  <c r="AB337"/>
  <c r="AM334"/>
  <c r="AI337"/>
  <c r="AJ337"/>
  <c r="W334"/>
  <c r="S337"/>
  <c r="T337"/>
  <c r="V389" i="1"/>
  <c r="M116" i="2"/>
  <c r="M389" i="1"/>
  <c r="L153" i="2"/>
  <c r="K227"/>
  <c r="M227"/>
  <c r="M153"/>
  <c r="L227"/>
  <c r="N227"/>
  <c r="AE389" i="1"/>
  <c r="P153" i="2"/>
  <c r="N116"/>
  <c r="L116"/>
  <c r="O116"/>
  <c r="D282" i="1"/>
  <c r="K190" i="2"/>
  <c r="N190"/>
  <c r="O227"/>
  <c r="N153"/>
  <c r="Q153"/>
  <c r="N264"/>
  <c r="N296"/>
  <c r="BD153"/>
  <c r="P264"/>
  <c r="P296"/>
  <c r="AX227"/>
  <c r="M264"/>
  <c r="M296"/>
  <c r="AX116"/>
  <c r="L190"/>
  <c r="M190"/>
  <c r="M282" i="1"/>
  <c r="V282"/>
  <c r="V9" i="3"/>
  <c r="O190" i="2"/>
  <c r="AE282" i="1"/>
  <c r="O264" i="2"/>
  <c r="Q264"/>
  <c r="AX190"/>
  <c r="O296"/>
  <c r="Q296"/>
  <c r="O297"/>
  <c r="S264"/>
  <c r="L306"/>
  <c r="M9" i="3"/>
  <c r="AE9"/>
  <c r="M337" i="2"/>
  <c r="M306"/>
  <c r="P297"/>
  <c r="M297"/>
  <c r="N297"/>
  <c r="L337"/>
  <c r="O306"/>
  <c r="K337"/>
</calcChain>
</file>

<file path=xl/sharedStrings.xml><?xml version="1.0" encoding="utf-8"?>
<sst xmlns="http://schemas.openxmlformats.org/spreadsheetml/2006/main" count="1781" uniqueCount="349">
  <si>
    <t>Założenia makroekonomiczne</t>
  </si>
  <si>
    <t>Źródło: Zaktualizowane warianty rozwoju gospodarczego Polski z dn. 19.11.2013 r.</t>
  </si>
  <si>
    <t>Wybrany wariant (lista rozwijana)</t>
  </si>
  <si>
    <t>Wariant podstawowy</t>
  </si>
  <si>
    <t>Wariant pesymistyczny</t>
  </si>
  <si>
    <t>Lp.</t>
  </si>
  <si>
    <t>Wyszczególnienie</t>
  </si>
  <si>
    <t>Przyjęty okres referencyjny</t>
  </si>
  <si>
    <t xml:space="preserve">Finansowa stopa procentowa </t>
  </si>
  <si>
    <t>Kolejny rok obliczeniowy</t>
  </si>
  <si>
    <t>Finansowy Współczynnik dyskontujący</t>
  </si>
  <si>
    <t>Stopa podatku dochodowego</t>
  </si>
  <si>
    <t>Realny wzrost wynagrodzeń</t>
  </si>
  <si>
    <t>Wskaźnik rocznego wzrostu kosztów eksploatacyjnych w wariancie bezinwestycyjnym</t>
  </si>
  <si>
    <t>Wskaźnik rocznego wzrostu kosztów eksploatacyjnych w wariancie inwestycyjnym</t>
  </si>
  <si>
    <t>Dynamika PKB</t>
  </si>
  <si>
    <t>Wartość PKB</t>
  </si>
  <si>
    <t>Liczba ludności Polski</t>
  </si>
  <si>
    <t>PKB per capita</t>
  </si>
  <si>
    <t>WIBOR 1M</t>
  </si>
  <si>
    <t>Kurs EUR</t>
  </si>
  <si>
    <t>WIBOR 1R</t>
  </si>
  <si>
    <t>Lata / Jedn.</t>
  </si>
  <si>
    <t>lata</t>
  </si>
  <si>
    <t>%</t>
  </si>
  <si>
    <t>nr</t>
  </si>
  <si>
    <t>mld PLN</t>
  </si>
  <si>
    <t>mln osób</t>
  </si>
  <si>
    <t>PLN</t>
  </si>
  <si>
    <t>PLN/EUR</t>
  </si>
  <si>
    <t>Wskaźnik korekty fiskalnej</t>
  </si>
  <si>
    <t>Wartość wskaźnika</t>
  </si>
  <si>
    <t>Do obliczeń (1-wskaźnik)</t>
  </si>
  <si>
    <t>Nakłady inwestycyjne - kolej</t>
  </si>
  <si>
    <t>Koszty operacyjne - kolej</t>
  </si>
  <si>
    <t>Koszty eksploatacyjne Projektu</t>
  </si>
  <si>
    <t>Wariant bezinwestycyjny</t>
  </si>
  <si>
    <t>Wariant inwestycyjny</t>
  </si>
  <si>
    <t>PLN / poc.km</t>
  </si>
  <si>
    <t xml:space="preserve">Masa całkowita brutto M [t] </t>
  </si>
  <si>
    <t xml:space="preserve">M≤60 </t>
  </si>
  <si>
    <t>60&lt;M≤120</t>
  </si>
  <si>
    <t>120&lt;M≤180</t>
  </si>
  <si>
    <t>180&lt;M≤240</t>
  </si>
  <si>
    <t>240&lt;M≤300</t>
  </si>
  <si>
    <t>300&lt;M≤360</t>
  </si>
  <si>
    <t>360&lt;M≤420</t>
  </si>
  <si>
    <t>420&lt;M≤480</t>
  </si>
  <si>
    <t>480&lt;M≤540</t>
  </si>
  <si>
    <t>540&lt;M≤600</t>
  </si>
  <si>
    <t>600&lt;M≤660</t>
  </si>
  <si>
    <t>660&lt;M≤720</t>
  </si>
  <si>
    <t>Dane ruchowe - analiza finansowa</t>
  </si>
  <si>
    <t>Ruch pasażerski</t>
  </si>
  <si>
    <t>poc km</t>
  </si>
  <si>
    <t>Praca eksploatacyjna
[S 1]</t>
  </si>
  <si>
    <t>Praca eksploatacyjna
[S 2]</t>
  </si>
  <si>
    <t>Praca eksploatacyjna
[S 3]</t>
  </si>
  <si>
    <t>Praca eksploatacyjna
[S 4]</t>
  </si>
  <si>
    <t>Praca eksploatacyjna
[S 5]</t>
  </si>
  <si>
    <t>Kategoria linii kolejowej
[bez sieci trakcyjnej]</t>
  </si>
  <si>
    <t>Koszty eksploatacji taboru
[S 1]</t>
  </si>
  <si>
    <t>Koszty eksploatacji taboru
[S 2]</t>
  </si>
  <si>
    <t>Koszty eksploatacji taboru
[S 3]</t>
  </si>
  <si>
    <t>Koszty eksploatacji taboru
[S 4]</t>
  </si>
  <si>
    <t>Koszty eksploatacji taboru
[S 5]</t>
  </si>
  <si>
    <t>Kategoria linii kolejowej
[z siecią trakcyjną]</t>
  </si>
  <si>
    <t>Koszty stawek dostępu
[S 1]</t>
  </si>
  <si>
    <t>Koszty stawek dostępu
[S 2]</t>
  </si>
  <si>
    <t>Koszty stawek dostępu
[S 3]</t>
  </si>
  <si>
    <t>Koszty stawek dostępu
[S 4]</t>
  </si>
  <si>
    <t>Koszty stawek dostępu
[S 5]</t>
  </si>
  <si>
    <t>Koszty eksploatacyjne przewoźnika</t>
  </si>
  <si>
    <t>[S1]
tabor</t>
  </si>
  <si>
    <t>[S2]
tabor</t>
  </si>
  <si>
    <t>[S3]
tabor</t>
  </si>
  <si>
    <t>[S4]
tabor</t>
  </si>
  <si>
    <t>[S5]
tabor</t>
  </si>
  <si>
    <t>[S1]
dostęp</t>
  </si>
  <si>
    <t>[S2]
dostęp</t>
  </si>
  <si>
    <t>[S3]
dostęp</t>
  </si>
  <si>
    <t>[S4]
dostęp</t>
  </si>
  <si>
    <t>[S5]
dostęp</t>
  </si>
  <si>
    <t>Dane ruchowe - analiza ekonomiczna</t>
  </si>
  <si>
    <t>Średnia liczba pasażerów</t>
  </si>
  <si>
    <t>Srednia liczba pasażerów - ruch przejęty</t>
  </si>
  <si>
    <t>Srednia liczba pasażerów - ruch wygenerowany</t>
  </si>
  <si>
    <t>Srednia liczba pasażerów - ruch dotychczasowy</t>
  </si>
  <si>
    <t>pas.</t>
  </si>
  <si>
    <t>Liczba pasażerów
[S1]</t>
  </si>
  <si>
    <t>Liczba pasażerów
[S2]</t>
  </si>
  <si>
    <t>Liczba pasażerów
[S3]</t>
  </si>
  <si>
    <t>Liczba pasażerów
[S4]</t>
  </si>
  <si>
    <t>Liczba pasażerów
[S5]</t>
  </si>
  <si>
    <t>Średni czas podróży</t>
  </si>
  <si>
    <t>Sredni czas podróży - ruch przejęty</t>
  </si>
  <si>
    <t>Średni czas podrózy - ruch dotychczasowy</t>
  </si>
  <si>
    <t>h</t>
  </si>
  <si>
    <t>Średnia odległość podróży - ruch przejęty, podróż samochodem</t>
  </si>
  <si>
    <t>Średnia odległość podróży - ruch przejęty, podróż pociągiem</t>
  </si>
  <si>
    <t>km</t>
  </si>
  <si>
    <t>Czas podróży
[S1]</t>
  </si>
  <si>
    <t>Czas podróży
[S2]</t>
  </si>
  <si>
    <t>Czas podróży
[S3]</t>
  </si>
  <si>
    <t>Czas podróży
[S4]</t>
  </si>
  <si>
    <t>Czas podróży
[S5]</t>
  </si>
  <si>
    <t>Średnia odległość
[S1]</t>
  </si>
  <si>
    <t>Średnia odległość
[S2]</t>
  </si>
  <si>
    <t>Średnia odległość
[S3]</t>
  </si>
  <si>
    <t>Średnia odległość
[S4]</t>
  </si>
  <si>
    <t>Średnia odległość
[S5]</t>
  </si>
  <si>
    <t>Założenia ekonomiczne</t>
  </si>
  <si>
    <t>Wypadki drogowe</t>
  </si>
  <si>
    <t>Z ruchu samochodowego</t>
  </si>
  <si>
    <t>Z ruchu autobusowego</t>
  </si>
  <si>
    <t>Jedn.</t>
  </si>
  <si>
    <t>Udział ruchu przejętego</t>
  </si>
  <si>
    <t>Liczba wypadków / 1000000 poj.km [SDR 10 000, szer drogi 7 m]</t>
  </si>
  <si>
    <t>Liczba ofiar śmiertelnych / 1 wypadek</t>
  </si>
  <si>
    <t>Liczba rannych / 1 wypadek</t>
  </si>
  <si>
    <t>zdarzenie</t>
  </si>
  <si>
    <t>osoby</t>
  </si>
  <si>
    <t>Wartość</t>
  </si>
  <si>
    <t>Koszty eksploatacji pojazdów i środowiskowe</t>
  </si>
  <si>
    <t>Służbowe</t>
  </si>
  <si>
    <t>Dom-praca-dom</t>
  </si>
  <si>
    <t>Inne</t>
  </si>
  <si>
    <t>Średnie napełnienie samochodów osobowych</t>
  </si>
  <si>
    <t>Średnie napełnienie autobusów
[Niebieska Księga]</t>
  </si>
  <si>
    <t>Drogi zamiejskie</t>
  </si>
  <si>
    <t>Jednostkowe koszty ekonomiczne</t>
  </si>
  <si>
    <t>Koszty czasu</t>
  </si>
  <si>
    <t>Praca (PLN/h)</t>
  </si>
  <si>
    <t>Dojazdy do pracy (PLN/h)</t>
  </si>
  <si>
    <t>Pozostałe (PLN/h)</t>
  </si>
  <si>
    <t>Częstotliwość (Praca - podróże służbowe)</t>
  </si>
  <si>
    <t>Częstotliwość (Dojazdy do pracy)</t>
  </si>
  <si>
    <t>Częstotliwość (Pozostałe)</t>
  </si>
  <si>
    <t>Średni ważony koszt godziny podróży</t>
  </si>
  <si>
    <t>Koszty wypadków</t>
  </si>
  <si>
    <t>Koszty jednostkowe zdarzeń drogowych (PLN/zdarzenie) - zabici</t>
  </si>
  <si>
    <t>Koszty jednostkowe zdarzeń drogowych (PLN/zdarzenie) - ranni</t>
  </si>
  <si>
    <t>Koszty jednostkowe zdarzeń drogowych (PLN/zdarzenie) - straty materialne</t>
  </si>
  <si>
    <t>Koszty eksploatacji</t>
  </si>
  <si>
    <t>Jednostkowe koszty eksploatacji pojazdów (SO V=60), stan techniczny drogi: nawierzchnia zdegradowana</t>
  </si>
  <si>
    <t>Jednostkowe koszty eksploatacji pojazdów (A V=60), stan techniczny drogi: nawierzchnia zdegradowana</t>
  </si>
  <si>
    <t>PLN / km</t>
  </si>
  <si>
    <t>Koszty środowiskowe</t>
  </si>
  <si>
    <t>Jednostkowe koszty emisji toksycznych składników spalin (SO V=60), teren zamiejski</t>
  </si>
  <si>
    <t>Jednostkowe koszty emisji toksycznych składników spalin (A V=60), teren zamiejski</t>
  </si>
  <si>
    <t>PLN / poj.km</t>
  </si>
  <si>
    <t>Średnia wartość h podróży</t>
  </si>
  <si>
    <t>Oszczędność pasażerogodz. dotychczasowych pasażerów</t>
  </si>
  <si>
    <t>Oszczędność pasażerogodz. ruchu wygenerowanego</t>
  </si>
  <si>
    <t>Oszczędność pasażerogodz. komunikacji samochodowej</t>
  </si>
  <si>
    <t>Oszczędności czasu razem</t>
  </si>
  <si>
    <t>pasażerogodz.</t>
  </si>
  <si>
    <t>Pojkm samochodowe przejęte przez kolej</t>
  </si>
  <si>
    <t>Pojkm autobusowe przejęte przez kolej</t>
  </si>
  <si>
    <t>Koszt eksploatacji pojazdów</t>
  </si>
  <si>
    <t>Koszt zakupu biletu</t>
  </si>
  <si>
    <t>Korekta o zakup biletu kolejowego</t>
  </si>
  <si>
    <t>Oszczędność na kosztach eksploatacji</t>
  </si>
  <si>
    <t>Korekta o zakup biletu komunikacji miejskiej</t>
  </si>
  <si>
    <t>Poj.km</t>
  </si>
  <si>
    <t>Pojkm zdjęte z sieci drogowej</t>
  </si>
  <si>
    <t>Koszty zdarzeń drogowych zabici</t>
  </si>
  <si>
    <t>Koszty zdarzeń drogowych ranni</t>
  </si>
  <si>
    <t>Koszty zdarzeń drogowych straty materialne</t>
  </si>
  <si>
    <t>RAZEM</t>
  </si>
  <si>
    <t>pojkm.</t>
  </si>
  <si>
    <t>Pojkm samochodowe zdjęte z sieci drogowej</t>
  </si>
  <si>
    <t>Pojkm autobusowe zdjęte z sieci drogowej</t>
  </si>
  <si>
    <t>Koszty środowiskowe samochodowe</t>
  </si>
  <si>
    <t>Koszty środowiskowe autobusowe</t>
  </si>
  <si>
    <t>Korzyści ekonomiczne razem</t>
  </si>
  <si>
    <t>Koszty eksploatacyjne</t>
  </si>
  <si>
    <t>Współczynnik dyskonta</t>
  </si>
  <si>
    <t>Zdyskontowane korzyści ekonomiczne</t>
  </si>
  <si>
    <t>Suma zdyskontowanych korzyści [PLN]</t>
  </si>
  <si>
    <t>Udział [%]</t>
  </si>
  <si>
    <t>Wyliczenia wskaźników efektywności ekonomicznej inwestycji</t>
  </si>
  <si>
    <t xml:space="preserve">Koszty operacyjne i nakłady odtworzeniowe po korekcie fiskalnej </t>
  </si>
  <si>
    <t>Korzyści ekonomiczne projektu</t>
  </si>
  <si>
    <t>Przepływy ekonomiczne razem</t>
  </si>
  <si>
    <t>Zdyskontowane przepływy ekonomiczne ENPV</t>
  </si>
  <si>
    <t>ENPV</t>
  </si>
  <si>
    <t>ERR</t>
  </si>
  <si>
    <t>B/C</t>
  </si>
  <si>
    <t>S1</t>
  </si>
  <si>
    <t>S2</t>
  </si>
  <si>
    <t>S3</t>
  </si>
  <si>
    <t>S4</t>
  </si>
  <si>
    <t>S5</t>
  </si>
  <si>
    <t>brutto</t>
  </si>
  <si>
    <t>netto</t>
  </si>
  <si>
    <t>Wskaźnik korekty o ulgi handlowe</t>
  </si>
  <si>
    <t>Skorygowany koszt biletu</t>
  </si>
  <si>
    <t>-</t>
  </si>
  <si>
    <t>Koszt biletu klasa, 2 pociągów REGIO, odległość 21-25 km</t>
  </si>
  <si>
    <t>Koszt biletu klasa, 2 pociągów REGIO, odległość 26-30 km</t>
  </si>
  <si>
    <t>Dane - wariant różnicowy</t>
  </si>
  <si>
    <t>Wariant różnicowy - koszt / wozokm.</t>
  </si>
  <si>
    <t>Wariant różnicowy - korzyści</t>
  </si>
  <si>
    <t>[S1]</t>
  </si>
  <si>
    <t>[S2]</t>
  </si>
  <si>
    <t>[S3]</t>
  </si>
  <si>
    <t>[S4]</t>
  </si>
  <si>
    <t>[S5]</t>
  </si>
  <si>
    <t>[S6]</t>
  </si>
  <si>
    <t>Wariant różnicowy - pasażerowie</t>
  </si>
  <si>
    <t>Wariant różnicowy - korzyści / pasażerowie</t>
  </si>
  <si>
    <t xml:space="preserve">Trakcja spalinowa </t>
  </si>
  <si>
    <t>Trakcja elektryczna</t>
  </si>
  <si>
    <t>Koszty PLK</t>
  </si>
  <si>
    <t>Koszty energii trakcyjnej</t>
  </si>
  <si>
    <t>Koszty drużyny trakcyjnej</t>
  </si>
  <si>
    <t>Koszty drużyny konduktorskiej</t>
  </si>
  <si>
    <t>Koszty działalności utrzymaniowej</t>
  </si>
  <si>
    <t>Koszty działalności eksploatacyjnej</t>
  </si>
  <si>
    <t>Koszty działalności handlowej</t>
  </si>
  <si>
    <t>Koszty zarządu</t>
  </si>
  <si>
    <t>Usługi zakupione (ARRIVA)</t>
  </si>
  <si>
    <t>Praca eksploatacyjna</t>
  </si>
  <si>
    <t>2013/2014</t>
  </si>
  <si>
    <t>Przewozy regionalne</t>
  </si>
  <si>
    <t>2012/2013</t>
  </si>
  <si>
    <t>Wągrowiec - Poznań Wchód</t>
  </si>
  <si>
    <t>STAWKI DOSTĘPU</t>
  </si>
  <si>
    <r>
      <t>·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Times New Roman"/>
        <family val="1"/>
        <charset val="238"/>
      </rPr>
      <t>Trasa S1 Wągrowiec – Poznań Wschód – Poznań Główny – Grodzisk Wielkopolski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</si>
  <si>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Times New Roman"/>
        <family val="1"/>
        <charset val="238"/>
      </rPr>
      <t>Trasa S2 Gniezno – Poznań Wschód – Poznań Główny – Czempiń – Leszno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</si>
  <si>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Times New Roman"/>
        <family val="1"/>
        <charset val="238"/>
      </rPr>
      <t>Trasa S3 Września – Swarzędz – Poznań Wschód – Poznań Główny – Nowy Tomyśl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</si>
  <si>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Times New Roman"/>
        <family val="1"/>
        <charset val="238"/>
      </rPr>
      <t>Trasa S4 Września – Swarzędz – Poznań Franowo – Poznań Główny – Rokietnica – Wronki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</si>
  <si>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Times New Roman"/>
        <family val="1"/>
        <charset val="238"/>
      </rPr>
      <t>Trasa S5 Jarocin – Poznań Główny – Rogoźno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</si>
  <si>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Times New Roman"/>
        <family val="1"/>
        <charset val="238"/>
      </rPr>
      <t>Trasa S6 Śrem – Czempiń – Poznań Główny – Rokietnica – Pniewy</t>
    </r>
  </si>
  <si>
    <t>Kategoria</t>
  </si>
  <si>
    <t>Pozostałe</t>
  </si>
  <si>
    <t>Razem</t>
  </si>
  <si>
    <t>dlugosc</t>
  </si>
  <si>
    <t>Poznan - Grodzisk</t>
  </si>
  <si>
    <t>Stawka</t>
  </si>
  <si>
    <t>Gniezno - Poznań</t>
  </si>
  <si>
    <t>Leszno - Luboń</t>
  </si>
  <si>
    <t>Luboń - Poznań</t>
  </si>
  <si>
    <t>Poznań - Nowy tomyśl</t>
  </si>
  <si>
    <t>Września - Poznań</t>
  </si>
  <si>
    <t>SOKOŁOWO WRZESIŃSKIE - PODSTOLICE</t>
  </si>
  <si>
    <t>e</t>
  </si>
  <si>
    <t>PODSTOLICE - SWARZĘDZ</t>
  </si>
  <si>
    <t>SWARZĘDZ - POZNAŃ ANTONINEK</t>
  </si>
  <si>
    <t>POZNAŃ ANTONINEK - POZNAŃ WSCHÓD</t>
  </si>
  <si>
    <t>POZNAŃ WSCHÓD - POZNAŃ GŁÓWNY</t>
  </si>
  <si>
    <t>POZNAŃ GŁÓWNY - POZNAŃ GŁÓWNY POD</t>
  </si>
  <si>
    <t>POZNAŃ GŁÓWNY - KIEKRZ</t>
  </si>
  <si>
    <t>KIEKRZ - SZAMOTUŁY</t>
  </si>
  <si>
    <t>SZAMOTUŁY - KRZYŻ</t>
  </si>
  <si>
    <t>Poznań - Wronki</t>
  </si>
  <si>
    <t>Jarocin - Poznań</t>
  </si>
  <si>
    <t>Poznań - Rogoxnoi</t>
  </si>
  <si>
    <t>Średnia</t>
  </si>
  <si>
    <t>Trasa</t>
  </si>
  <si>
    <t>Relacja 2015</t>
  </si>
  <si>
    <t>Relacja 2025</t>
  </si>
  <si>
    <t>Relacja 2040</t>
  </si>
  <si>
    <t>Nr linii</t>
  </si>
  <si>
    <t>Poznań Wschód - Poznań Główny</t>
  </si>
  <si>
    <t>Razem / Stawka ważona</t>
  </si>
  <si>
    <t>Poznań Wschód - Gniezno</t>
  </si>
  <si>
    <t>Luboń k. Poznania - Poznań Główny</t>
  </si>
  <si>
    <t>Poznań Główny - Poznań Wschód</t>
  </si>
  <si>
    <t>Sokołowo Wrzesińskie - Podstolice</t>
  </si>
  <si>
    <t>Podstolice - Swarzędz</t>
  </si>
  <si>
    <t>Swarzędz - Poznań Antoninek</t>
  </si>
  <si>
    <t>Poznań Antoninek - Poznań Wschód</t>
  </si>
  <si>
    <t>Poznań Główny - Poznań Górczyn</t>
  </si>
  <si>
    <t>Poznań Górczyn - Opalenica</t>
  </si>
  <si>
    <t>Poznań Główny - Jarocin</t>
  </si>
  <si>
    <t>Poznań Główny - Poznań Główny POD</t>
  </si>
  <si>
    <t>Poznań Główny - Kiekrz</t>
  </si>
  <si>
    <t>Kiekrz - Szamotuły</t>
  </si>
  <si>
    <t>Poznań Starołęka - Poznań Główny</t>
  </si>
  <si>
    <t>SWARZĘDZ - NOWA WIEŚ POZNAŃSKA</t>
  </si>
  <si>
    <t>NOWA WIEŚ POZNAŃSKA - POZNAŃ FRANOWO PFA</t>
  </si>
  <si>
    <t>POZNAŃ FRANOWO PFA - POKRZYWNO</t>
  </si>
  <si>
    <t>POKRZYWNO - POZNAŃ STAROŁĘKA</t>
  </si>
  <si>
    <t>Swarzędz - Nowa Wieś Poznańska</t>
  </si>
  <si>
    <t>Nowa Wieś Poznańska - Poznań Franowo PFA</t>
  </si>
  <si>
    <t>Poznań Franowo PFA - Pokrzywno</t>
  </si>
  <si>
    <t>Pokrzywno - Poznań Starołęka</t>
  </si>
  <si>
    <t>Koszty przewozu
[S 1]</t>
  </si>
  <si>
    <t>Koszty przewozu
[S 2]</t>
  </si>
  <si>
    <t>Koszty przewozu
[S 3]</t>
  </si>
  <si>
    <t>Koszty przewozu
[S 4]</t>
  </si>
  <si>
    <t>Koszty przewozu
[S 5]</t>
  </si>
  <si>
    <t>Poznań Górczyn - Nowy Tomyśl</t>
  </si>
  <si>
    <t>Rogoźno Wlkp. - Poznań Główny</t>
  </si>
  <si>
    <t>[S1]
koszt eksploatacji</t>
  </si>
  <si>
    <t>[S2]
koszt eksploatacji</t>
  </si>
  <si>
    <t>[S3]
koszt eksploatacji</t>
  </si>
  <si>
    <t>[S4]
koszt eksploatacji</t>
  </si>
  <si>
    <t>[S5]
koszt eksploatacji</t>
  </si>
  <si>
    <t>Paliwo</t>
  </si>
  <si>
    <t>Energia</t>
  </si>
  <si>
    <t>KW 2013/2014</t>
  </si>
  <si>
    <t>Paliwo
[PLN]</t>
  </si>
  <si>
    <t>Praca eksploatacyjne
[poc.km]</t>
  </si>
  <si>
    <t>Relacja kosztów: energia elektryczna = 100%</t>
  </si>
  <si>
    <t>Wariant różnicowy</t>
  </si>
  <si>
    <t>długość linii</t>
  </si>
  <si>
    <t>S6</t>
  </si>
  <si>
    <t>dni w roku</t>
  </si>
  <si>
    <t>Liczbna pociągów</t>
  </si>
  <si>
    <t>Praca eksploatacyjna
[S 6]</t>
  </si>
  <si>
    <t>do</t>
  </si>
  <si>
    <t>po 2025</t>
  </si>
  <si>
    <t>Sredniodobowy ruch pasażerski</t>
  </si>
  <si>
    <t>s1</t>
  </si>
  <si>
    <t>s2</t>
  </si>
  <si>
    <t>s3</t>
  </si>
  <si>
    <t>s4</t>
  </si>
  <si>
    <t>s5</t>
  </si>
  <si>
    <t>s6</t>
  </si>
  <si>
    <t>Liczba pasażerów
[S6]</t>
  </si>
  <si>
    <t>Czas podróży
[S6]</t>
  </si>
  <si>
    <t>Średnia odległość
[S6]</t>
  </si>
  <si>
    <t>[S6]
tabor</t>
  </si>
  <si>
    <t>Koszty eksploatacji taboru
[S 6]</t>
  </si>
  <si>
    <t>Koszty stawek dostępu
[S 6]</t>
  </si>
  <si>
    <t>Koszty przewozu
[S 6]</t>
  </si>
  <si>
    <t>[S6]
dostęp</t>
  </si>
  <si>
    <t>[S6]
koszt eksploatacji</t>
  </si>
  <si>
    <t>Wągrowiec – Poznań Wschód – Poznań Główny – Luboń k/Poznania – Grodzisk Wielkopolski</t>
  </si>
  <si>
    <t>Gniezno – Poznań Wschód – Poznań Główny – Luboń k/Poznania – Kościan</t>
  </si>
  <si>
    <t>Szamotuły – Poznań Główny – Poznań Franowo – Swarzędz – Września</t>
  </si>
  <si>
    <t>Rogoźno Wlkp. – Poznań Główny – Poznań Franowo – Środa Wlkp. – Jarocin</t>
  </si>
  <si>
    <t>Poznań Główny – Lotnisko Ławica – Tarnowo Podgórne</t>
  </si>
  <si>
    <t>Kościan - Luboń k. Poznania</t>
  </si>
  <si>
    <t>Poznań Główny - Luboń k/Pozniania</t>
  </si>
  <si>
    <t>Luboń k/Pozniania - Grodzisk Wielkopolski</t>
  </si>
  <si>
    <t>Koszt biletu klasa, 2 pociągów REGIO, odległość 31-35 km</t>
  </si>
  <si>
    <t>Koszt biletu klasa, 2 pociągów REGIO, odległość 36-40 km</t>
  </si>
  <si>
    <t>Koszt biletu klasa, 2 pociągów REGIO, odległość 6-10 km</t>
  </si>
  <si>
    <t>odgałęzienie - Port Lotniczy Ławica</t>
  </si>
  <si>
    <t>Poznań Główny POD - odgałęzienie</t>
  </si>
  <si>
    <t>Port Lotniczy Ławica - Tarnowo Podgórne</t>
  </si>
  <si>
    <t>Września – Swarzędz – Poznań Wschód – Poznań Główny – Opalenica</t>
  </si>
  <si>
    <r>
      <t xml:space="preserve">Września – Swarzędz – Poznań Wschód – Poznań Główny – </t>
    </r>
    <r>
      <rPr>
        <b/>
        <sz val="8"/>
        <color indexed="10"/>
        <rFont val="Tahoma"/>
        <family val="2"/>
        <charset val="238"/>
      </rPr>
      <t>Nowy Tomyśl</t>
    </r>
  </si>
  <si>
    <t>S3
[2025]</t>
  </si>
  <si>
    <t>S3
[2015]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</si>
</sst>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00"/>
    <numFmt numFmtId="166" formatCode="0.000"/>
  </numFmts>
  <fonts count="19"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9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color indexed="8"/>
      <name val="Symbol"/>
      <family val="1"/>
      <charset val="2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8"/>
      <color indexed="8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10" fontId="9" fillId="0" borderId="5" xfId="1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10" fontId="9" fillId="0" borderId="4" xfId="1" applyNumberFormat="1" applyFont="1" applyFill="1" applyBorder="1" applyAlignment="1">
      <alignment horizontal="center" vertical="center" wrapText="1"/>
    </xf>
    <xf numFmtId="10" fontId="9" fillId="0" borderId="6" xfId="1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3" fontId="9" fillId="3" borderId="4" xfId="1" applyNumberFormat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10" fontId="9" fillId="3" borderId="5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4" fontId="9" fillId="3" borderId="6" xfId="1" applyNumberFormat="1" applyFont="1" applyFill="1" applyBorder="1" applyAlignment="1">
      <alignment horizontal="center" vertical="center" wrapText="1"/>
    </xf>
    <xf numFmtId="10" fontId="9" fillId="3" borderId="4" xfId="1" applyNumberFormat="1" applyFont="1" applyFill="1" applyBorder="1" applyAlignment="1">
      <alignment horizontal="center" vertical="center" wrapText="1"/>
    </xf>
    <xf numFmtId="10" fontId="9" fillId="3" borderId="6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12" fillId="2" borderId="0" xfId="0" applyFont="1" applyFill="1"/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10" fontId="9" fillId="4" borderId="14" xfId="0" applyNumberFormat="1" applyFont="1" applyFill="1" applyBorder="1" applyAlignment="1">
      <alignment horizontal="center" vertical="center" wrapText="1"/>
    </xf>
    <xf numFmtId="10" fontId="9" fillId="4" borderId="15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10" fontId="9" fillId="0" borderId="8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10" fontId="8" fillId="0" borderId="1" xfId="1" applyNumberFormat="1" applyFont="1" applyFill="1" applyBorder="1" applyAlignment="1">
      <alignment horizontal="center" vertical="center" wrapText="1"/>
    </xf>
    <xf numFmtId="10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7" borderId="0" xfId="0" applyFont="1" applyFill="1"/>
    <xf numFmtId="0" fontId="3" fillId="7" borderId="0" xfId="0" applyFont="1" applyFill="1" applyAlignment="1">
      <alignment horizontal="left" vertical="center"/>
    </xf>
    <xf numFmtId="0" fontId="13" fillId="0" borderId="0" xfId="0" applyFont="1" applyAlignment="1">
      <alignment horizontal="left" indent="2"/>
    </xf>
    <xf numFmtId="0" fontId="0" fillId="0" borderId="1" xfId="0" applyFont="1" applyBorder="1" applyAlignment="1">
      <alignment horizontal="left" vertical="center" shrinkToFit="1"/>
    </xf>
    <xf numFmtId="165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65" fontId="4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4" fillId="0" borderId="0" xfId="0" applyNumberFormat="1" applyFont="1"/>
    <xf numFmtId="0" fontId="4" fillId="0" borderId="1" xfId="0" applyFont="1" applyBorder="1"/>
    <xf numFmtId="0" fontId="7" fillId="3" borderId="17" xfId="0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165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10" fontId="4" fillId="0" borderId="1" xfId="0" applyNumberFormat="1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9" fillId="0" borderId="20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7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7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/>
    <xf numFmtId="0" fontId="1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/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9" xfId="0" applyBorder="1" applyAlignment="1"/>
    <xf numFmtId="0" fontId="2" fillId="3" borderId="19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AppData/Local/Microsoft/Windows/Temporary%20Internet%20Files/Content.Outlook/26KSH133/Users/lwypych/Pulpit/WIEDZA/PLK/Wykaz_odcinkow_C_2013-14_w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_pas"/>
      <sheetName val="wykaz_tow"/>
    </sheetNames>
    <sheetDataSet>
      <sheetData sheetId="0">
        <row r="740">
          <cell r="F740">
            <v>133.57400000000001</v>
          </cell>
        </row>
        <row r="742">
          <cell r="G742">
            <v>201.50700000000001</v>
          </cell>
        </row>
        <row r="899">
          <cell r="F899">
            <v>-0.19700000000000001</v>
          </cell>
        </row>
        <row r="901">
          <cell r="G901">
            <v>42.515000000000001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666"/>
  <sheetViews>
    <sheetView showGridLines="0" topLeftCell="J439" zoomScale="85" zoomScaleNormal="85" workbookViewId="0">
      <selection activeCell="L483" sqref="L483:Q483"/>
    </sheetView>
  </sheetViews>
  <sheetFormatPr defaultRowHeight="10.5"/>
  <cols>
    <col min="1" max="1" width="9.140625" style="4"/>
    <col min="2" max="2" width="11.140625" style="4" customWidth="1"/>
    <col min="3" max="3" width="15.5703125" style="4" customWidth="1"/>
    <col min="4" max="8" width="14.28515625" style="4" customWidth="1"/>
    <col min="9" max="9" width="12" style="4" customWidth="1"/>
    <col min="10" max="10" width="10" style="4" customWidth="1"/>
    <col min="11" max="11" width="12.140625" style="4" customWidth="1"/>
    <col min="12" max="17" width="14.5703125" style="4" customWidth="1"/>
    <col min="18" max="18" width="15.140625" style="4" customWidth="1"/>
    <col min="19" max="19" width="14.28515625" style="4" customWidth="1"/>
    <col min="20" max="20" width="12.7109375" style="4" customWidth="1"/>
    <col min="21" max="26" width="11.28515625" style="4" customWidth="1"/>
    <col min="27" max="29" width="9.140625" style="4"/>
    <col min="30" max="35" width="12.42578125" style="4" customWidth="1"/>
    <col min="36" max="16384" width="9.140625" style="4"/>
  </cols>
  <sheetData>
    <row r="2" spans="1:73" s="2" customFormat="1" ht="27" customHeight="1">
      <c r="A2" s="1" t="s">
        <v>0</v>
      </c>
      <c r="E2" s="3" t="s">
        <v>1</v>
      </c>
    </row>
    <row r="4" spans="1:73" ht="28.5" customHeight="1">
      <c r="A4" s="166" t="s">
        <v>2</v>
      </c>
      <c r="B4" s="166"/>
      <c r="C4" s="167" t="s">
        <v>3</v>
      </c>
      <c r="D4" s="16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7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50" t="s">
        <v>3</v>
      </c>
      <c r="S5" s="151"/>
      <c r="T5" s="152"/>
      <c r="U5" s="150" t="s">
        <v>4</v>
      </c>
      <c r="V5" s="151"/>
      <c r="W5" s="152"/>
    </row>
    <row r="6" spans="1:73">
      <c r="A6" s="134" t="s">
        <v>5</v>
      </c>
      <c r="B6" s="134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5"/>
      <c r="R6" s="6">
        <v>7</v>
      </c>
      <c r="S6" s="6">
        <v>10</v>
      </c>
      <c r="T6" s="6">
        <v>14</v>
      </c>
      <c r="U6" s="6">
        <v>7</v>
      </c>
      <c r="V6" s="6">
        <v>10</v>
      </c>
      <c r="W6" s="6">
        <v>14</v>
      </c>
    </row>
    <row r="7" spans="1:73" ht="94.5">
      <c r="A7" s="134" t="s">
        <v>6</v>
      </c>
      <c r="B7" s="134"/>
      <c r="C7" s="7" t="s">
        <v>7</v>
      </c>
      <c r="D7" s="7" t="s">
        <v>8</v>
      </c>
      <c r="E7" s="7" t="s">
        <v>9</v>
      </c>
      <c r="F7" s="97" t="s">
        <v>10</v>
      </c>
      <c r="G7" s="7" t="s">
        <v>11</v>
      </c>
      <c r="H7" s="97" t="s">
        <v>12</v>
      </c>
      <c r="I7" s="97" t="s">
        <v>13</v>
      </c>
      <c r="J7" s="97" t="s">
        <v>14</v>
      </c>
      <c r="K7" s="97" t="s">
        <v>15</v>
      </c>
      <c r="L7" s="97" t="s">
        <v>16</v>
      </c>
      <c r="M7" s="97" t="s">
        <v>17</v>
      </c>
      <c r="N7" s="97" t="s">
        <v>18</v>
      </c>
      <c r="O7" s="97" t="s">
        <v>19</v>
      </c>
      <c r="P7" s="97" t="s">
        <v>20</v>
      </c>
      <c r="Q7" s="5"/>
      <c r="R7" s="97" t="s">
        <v>12</v>
      </c>
      <c r="S7" s="97" t="s">
        <v>15</v>
      </c>
      <c r="T7" s="97" t="s">
        <v>21</v>
      </c>
      <c r="U7" s="97" t="s">
        <v>12</v>
      </c>
      <c r="V7" s="97" t="s">
        <v>15</v>
      </c>
      <c r="W7" s="97" t="s">
        <v>19</v>
      </c>
    </row>
    <row r="8" spans="1:73">
      <c r="A8" s="8"/>
      <c r="B8" s="9" t="s">
        <v>22</v>
      </c>
      <c r="C8" s="10" t="s">
        <v>23</v>
      </c>
      <c r="D8" s="10" t="s">
        <v>24</v>
      </c>
      <c r="E8" s="10" t="s">
        <v>25</v>
      </c>
      <c r="F8" s="11" t="s">
        <v>24</v>
      </c>
      <c r="G8" s="10" t="s">
        <v>24</v>
      </c>
      <c r="H8" s="10" t="s">
        <v>24</v>
      </c>
      <c r="I8" s="10" t="s">
        <v>24</v>
      </c>
      <c r="J8" s="10" t="s">
        <v>24</v>
      </c>
      <c r="K8" s="10"/>
      <c r="L8" s="10" t="s">
        <v>26</v>
      </c>
      <c r="M8" s="10" t="s">
        <v>27</v>
      </c>
      <c r="N8" s="10" t="s">
        <v>28</v>
      </c>
      <c r="O8" s="10" t="s">
        <v>24</v>
      </c>
      <c r="P8" s="10" t="s">
        <v>29</v>
      </c>
      <c r="Q8" s="5"/>
      <c r="R8" s="10" t="s">
        <v>24</v>
      </c>
      <c r="S8" s="10"/>
      <c r="T8" s="10" t="s">
        <v>24</v>
      </c>
      <c r="U8" s="10" t="s">
        <v>24</v>
      </c>
      <c r="V8" s="10"/>
      <c r="W8" s="10" t="s">
        <v>24</v>
      </c>
    </row>
    <row r="9" spans="1:73">
      <c r="A9" s="12"/>
      <c r="B9" s="13">
        <v>2014</v>
      </c>
      <c r="C9" s="14">
        <v>30</v>
      </c>
      <c r="D9" s="15">
        <v>0.05</v>
      </c>
      <c r="E9" s="16">
        <v>0</v>
      </c>
      <c r="F9" s="17">
        <v>1</v>
      </c>
      <c r="G9" s="18">
        <v>0.19</v>
      </c>
      <c r="H9" s="18">
        <f t="shared" ref="H9:H39" si="0">IF($C$4=$R$5,R9,U9)</f>
        <v>1.0999999999999999E-2</v>
      </c>
      <c r="I9" s="18">
        <v>4.4999999999999998E-2</v>
      </c>
      <c r="J9" s="18">
        <f t="shared" ref="J9:J39" si="1">I9</f>
        <v>4.4999999999999998E-2</v>
      </c>
      <c r="K9" s="18">
        <f t="shared" ref="K9:K39" si="2">IF($C$4=$R$5,S9,V9)</f>
        <v>2.5000000000000001E-2</v>
      </c>
      <c r="L9" s="19">
        <v>1603.6907752320001</v>
      </c>
      <c r="M9" s="19">
        <v>38056</v>
      </c>
      <c r="N9" s="19">
        <v>42140.28734580618</v>
      </c>
      <c r="O9" s="18">
        <f t="shared" ref="O9:O39" si="3">IF($C$4=$R$5,T9,W9)</f>
        <v>2.5999999999999999E-2</v>
      </c>
      <c r="P9" s="20">
        <v>4.2</v>
      </c>
      <c r="Q9" s="5"/>
      <c r="R9" s="21">
        <v>1.0999999999999999E-2</v>
      </c>
      <c r="S9" s="18">
        <v>2.5000000000000001E-2</v>
      </c>
      <c r="T9" s="18">
        <v>2.5999999999999999E-2</v>
      </c>
      <c r="U9" s="18">
        <v>7.0000000000000001E-3</v>
      </c>
      <c r="V9" s="18">
        <v>1.4999999999999999E-2</v>
      </c>
      <c r="W9" s="22">
        <v>2.4E-2</v>
      </c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</row>
    <row r="10" spans="1:73">
      <c r="A10" s="12"/>
      <c r="B10" s="13">
        <v>2015</v>
      </c>
      <c r="C10" s="24">
        <v>30</v>
      </c>
      <c r="D10" s="25">
        <v>0.05</v>
      </c>
      <c r="E10" s="26">
        <f>E9+1</f>
        <v>1</v>
      </c>
      <c r="F10" s="27">
        <f t="shared" ref="F10:F39" si="4">(1/(1+D10)^E10)</f>
        <v>0.95238095238095233</v>
      </c>
      <c r="G10" s="28">
        <v>0.19</v>
      </c>
      <c r="H10" s="28">
        <f t="shared" si="0"/>
        <v>2.1999999999999999E-2</v>
      </c>
      <c r="I10" s="28">
        <v>4.4999999999999998E-2</v>
      </c>
      <c r="J10" s="28">
        <f t="shared" si="1"/>
        <v>4.4999999999999998E-2</v>
      </c>
      <c r="K10" s="28">
        <f t="shared" si="2"/>
        <v>3.7999999999999999E-2</v>
      </c>
      <c r="L10" s="29">
        <f>L9*(1+K10)</f>
        <v>1664.631024690816</v>
      </c>
      <c r="M10" s="29">
        <v>38037.1</v>
      </c>
      <c r="N10" s="29">
        <f t="shared" ref="N10:N39" si="5">(L10/M10)*1000000</f>
        <v>43763.352744841643</v>
      </c>
      <c r="O10" s="28">
        <f>IF($C$4=$R$5,T10,W10)</f>
        <v>3.15E-2</v>
      </c>
      <c r="P10" s="30">
        <f t="shared" ref="P10:P39" si="6">P9</f>
        <v>4.2</v>
      </c>
      <c r="Q10" s="5"/>
      <c r="R10" s="31">
        <v>2.1999999999999999E-2</v>
      </c>
      <c r="S10" s="28">
        <v>3.7999999999999999E-2</v>
      </c>
      <c r="T10" s="28">
        <v>3.15E-2</v>
      </c>
      <c r="U10" s="28">
        <v>1.4E-2</v>
      </c>
      <c r="V10" s="28">
        <v>2.1999999999999999E-2</v>
      </c>
      <c r="W10" s="32">
        <v>2.75E-2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</row>
    <row r="11" spans="1:73">
      <c r="A11" s="12"/>
      <c r="B11" s="13">
        <v>2016</v>
      </c>
      <c r="C11" s="24">
        <v>30</v>
      </c>
      <c r="D11" s="25">
        <v>0.05</v>
      </c>
      <c r="E11" s="26">
        <f t="shared" ref="E11:E39" si="7">E10+1</f>
        <v>2</v>
      </c>
      <c r="F11" s="27">
        <f>(1/(1+D11)^E11)</f>
        <v>0.90702947845804982</v>
      </c>
      <c r="G11" s="28">
        <v>0.19</v>
      </c>
      <c r="H11" s="28">
        <f t="shared" si="0"/>
        <v>2.7E-2</v>
      </c>
      <c r="I11" s="28">
        <v>4.4999999999999998E-2</v>
      </c>
      <c r="J11" s="28">
        <f t="shared" si="1"/>
        <v>4.4999999999999998E-2</v>
      </c>
      <c r="K11" s="28">
        <f t="shared" si="2"/>
        <v>4.2999999999999997E-2</v>
      </c>
      <c r="L11" s="29">
        <f t="shared" ref="L11:L39" si="8">L10*(1+K11)</f>
        <v>1736.210158752521</v>
      </c>
      <c r="M11" s="29">
        <v>38016.1</v>
      </c>
      <c r="N11" s="29">
        <f t="shared" si="5"/>
        <v>45670.391196164812</v>
      </c>
      <c r="O11" s="28">
        <f t="shared" si="3"/>
        <v>3.7999999999999999E-2</v>
      </c>
      <c r="P11" s="30">
        <f t="shared" si="6"/>
        <v>4.2</v>
      </c>
      <c r="Q11" s="5"/>
      <c r="R11" s="31">
        <v>2.7E-2</v>
      </c>
      <c r="S11" s="28">
        <v>4.2999999999999997E-2</v>
      </c>
      <c r="T11" s="28">
        <v>3.7999999999999999E-2</v>
      </c>
      <c r="U11" s="28">
        <v>1.4999999999999999E-2</v>
      </c>
      <c r="V11" s="28">
        <v>0.02</v>
      </c>
      <c r="W11" s="32">
        <v>3.5999999999999997E-2</v>
      </c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</row>
    <row r="12" spans="1:73">
      <c r="A12" s="12"/>
      <c r="B12" s="13">
        <v>2017</v>
      </c>
      <c r="C12" s="24">
        <v>30</v>
      </c>
      <c r="D12" s="25">
        <v>0.05</v>
      </c>
      <c r="E12" s="26">
        <f t="shared" si="7"/>
        <v>3</v>
      </c>
      <c r="F12" s="27">
        <f t="shared" si="4"/>
        <v>0.86383759853147601</v>
      </c>
      <c r="G12" s="28">
        <v>0.19</v>
      </c>
      <c r="H12" s="28">
        <f t="shared" si="0"/>
        <v>3.5000000000000003E-2</v>
      </c>
      <c r="I12" s="28">
        <v>4.4999999999999998E-2</v>
      </c>
      <c r="J12" s="28">
        <f t="shared" si="1"/>
        <v>4.4999999999999998E-2</v>
      </c>
      <c r="K12" s="28">
        <f t="shared" si="2"/>
        <v>4.2999999999999997E-2</v>
      </c>
      <c r="L12" s="29">
        <f t="shared" si="8"/>
        <v>1810.8671955788793</v>
      </c>
      <c r="M12" s="29">
        <v>37829.9</v>
      </c>
      <c r="N12" s="29">
        <f t="shared" si="5"/>
        <v>47868.675190229929</v>
      </c>
      <c r="O12" s="28">
        <f t="shared" si="3"/>
        <v>0.04</v>
      </c>
      <c r="P12" s="30">
        <f t="shared" si="6"/>
        <v>4.2</v>
      </c>
      <c r="Q12" s="5"/>
      <c r="R12" s="31">
        <v>3.5000000000000003E-2</v>
      </c>
      <c r="S12" s="28">
        <v>4.2999999999999997E-2</v>
      </c>
      <c r="T12" s="28">
        <v>0.04</v>
      </c>
      <c r="U12" s="28">
        <v>1.9E-2</v>
      </c>
      <c r="V12" s="28">
        <v>2.1999999999999999E-2</v>
      </c>
      <c r="W12" s="32">
        <v>3.6999999999999998E-2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</row>
    <row r="13" spans="1:73">
      <c r="A13" s="12"/>
      <c r="B13" s="13">
        <v>2018</v>
      </c>
      <c r="C13" s="24">
        <v>30</v>
      </c>
      <c r="D13" s="25">
        <v>0.05</v>
      </c>
      <c r="E13" s="26">
        <f t="shared" si="7"/>
        <v>4</v>
      </c>
      <c r="F13" s="27">
        <f t="shared" si="4"/>
        <v>0.82270247479188197</v>
      </c>
      <c r="G13" s="28">
        <v>0.19</v>
      </c>
      <c r="H13" s="28">
        <f t="shared" si="0"/>
        <v>3.5000000000000003E-2</v>
      </c>
      <c r="I13" s="28">
        <v>4.4999999999999998E-2</v>
      </c>
      <c r="J13" s="28">
        <f t="shared" si="1"/>
        <v>4.4999999999999998E-2</v>
      </c>
      <c r="K13" s="28">
        <f t="shared" si="2"/>
        <v>4.1000000000000002E-2</v>
      </c>
      <c r="L13" s="29">
        <f t="shared" si="8"/>
        <v>1885.1127505976133</v>
      </c>
      <c r="M13" s="29">
        <v>37829.9</v>
      </c>
      <c r="N13" s="29">
        <f t="shared" si="5"/>
        <v>49831.290873029357</v>
      </c>
      <c r="O13" s="28">
        <f t="shared" si="3"/>
        <v>0.04</v>
      </c>
      <c r="P13" s="30">
        <f t="shared" si="6"/>
        <v>4.2</v>
      </c>
      <c r="Q13" s="5"/>
      <c r="R13" s="31">
        <v>3.5000000000000003E-2</v>
      </c>
      <c r="S13" s="28">
        <v>4.1000000000000002E-2</v>
      </c>
      <c r="T13" s="28">
        <v>0.04</v>
      </c>
      <c r="U13" s="28">
        <v>1.4999999999999999E-2</v>
      </c>
      <c r="V13" s="28">
        <v>0.02</v>
      </c>
      <c r="W13" s="32">
        <v>3.6999999999999998E-2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</row>
    <row r="14" spans="1:73">
      <c r="A14" s="12"/>
      <c r="B14" s="13">
        <v>2019</v>
      </c>
      <c r="C14" s="24">
        <v>30</v>
      </c>
      <c r="D14" s="25">
        <v>0.05</v>
      </c>
      <c r="E14" s="26">
        <f t="shared" si="7"/>
        <v>5</v>
      </c>
      <c r="F14" s="27">
        <f t="shared" si="4"/>
        <v>0.78352616646845896</v>
      </c>
      <c r="G14" s="28">
        <v>0.19</v>
      </c>
      <c r="H14" s="28">
        <f t="shared" si="0"/>
        <v>3.5000000000000003E-2</v>
      </c>
      <c r="I14" s="28">
        <v>4.4999999999999998E-2</v>
      </c>
      <c r="J14" s="28">
        <f t="shared" si="1"/>
        <v>4.4999999999999998E-2</v>
      </c>
      <c r="K14" s="28">
        <f t="shared" si="2"/>
        <v>4.1000000000000002E-2</v>
      </c>
      <c r="L14" s="29">
        <f t="shared" si="8"/>
        <v>1962.4023733721153</v>
      </c>
      <c r="M14" s="29">
        <v>37829.9</v>
      </c>
      <c r="N14" s="29">
        <f t="shared" si="5"/>
        <v>51874.373798823559</v>
      </c>
      <c r="O14" s="28">
        <f t="shared" si="3"/>
        <v>0.04</v>
      </c>
      <c r="P14" s="30">
        <f t="shared" si="6"/>
        <v>4.2</v>
      </c>
      <c r="Q14" s="5"/>
      <c r="R14" s="31">
        <f>R13</f>
        <v>3.5000000000000003E-2</v>
      </c>
      <c r="S14" s="28">
        <f t="shared" ref="R14:V29" si="9">S13</f>
        <v>4.1000000000000002E-2</v>
      </c>
      <c r="T14" s="28">
        <f t="shared" si="9"/>
        <v>0.04</v>
      </c>
      <c r="U14" s="28">
        <f t="shared" si="9"/>
        <v>1.4999999999999999E-2</v>
      </c>
      <c r="V14" s="28">
        <f>V13</f>
        <v>0.02</v>
      </c>
      <c r="W14" s="32">
        <f t="shared" ref="W14:W39" si="10">W13</f>
        <v>3.6999999999999998E-2</v>
      </c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</row>
    <row r="15" spans="1:73">
      <c r="A15" s="12"/>
      <c r="B15" s="13">
        <v>2020</v>
      </c>
      <c r="C15" s="24">
        <v>30</v>
      </c>
      <c r="D15" s="25">
        <v>0.05</v>
      </c>
      <c r="E15" s="26">
        <f t="shared" si="7"/>
        <v>6</v>
      </c>
      <c r="F15" s="27">
        <f t="shared" si="4"/>
        <v>0.74621539663662761</v>
      </c>
      <c r="G15" s="28">
        <v>0.19</v>
      </c>
      <c r="H15" s="28">
        <f t="shared" si="0"/>
        <v>3.5000000000000003E-2</v>
      </c>
      <c r="I15" s="28">
        <v>4.4999999999999998E-2</v>
      </c>
      <c r="J15" s="28">
        <f t="shared" si="1"/>
        <v>4.4999999999999998E-2</v>
      </c>
      <c r="K15" s="28">
        <f t="shared" si="2"/>
        <v>4.1000000000000002E-2</v>
      </c>
      <c r="L15" s="29">
        <f t="shared" si="8"/>
        <v>2042.8608706803718</v>
      </c>
      <c r="M15" s="29">
        <v>37829.9</v>
      </c>
      <c r="N15" s="29">
        <f t="shared" si="5"/>
        <v>54001.223124575314</v>
      </c>
      <c r="O15" s="28">
        <f t="shared" si="3"/>
        <v>0.04</v>
      </c>
      <c r="P15" s="30">
        <f t="shared" si="6"/>
        <v>4.2</v>
      </c>
      <c r="Q15" s="5"/>
      <c r="R15" s="31">
        <f t="shared" si="9"/>
        <v>3.5000000000000003E-2</v>
      </c>
      <c r="S15" s="28">
        <f t="shared" si="9"/>
        <v>4.1000000000000002E-2</v>
      </c>
      <c r="T15" s="28">
        <f t="shared" si="9"/>
        <v>0.04</v>
      </c>
      <c r="U15" s="28">
        <f t="shared" si="9"/>
        <v>1.4999999999999999E-2</v>
      </c>
      <c r="V15" s="28">
        <f t="shared" si="9"/>
        <v>0.02</v>
      </c>
      <c r="W15" s="32">
        <f t="shared" si="10"/>
        <v>3.6999999999999998E-2</v>
      </c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</row>
    <row r="16" spans="1:73">
      <c r="A16" s="12"/>
      <c r="B16" s="13">
        <v>2021</v>
      </c>
      <c r="C16" s="24">
        <v>30</v>
      </c>
      <c r="D16" s="25">
        <v>0.05</v>
      </c>
      <c r="E16" s="26">
        <f t="shared" si="7"/>
        <v>7</v>
      </c>
      <c r="F16" s="27">
        <f t="shared" si="4"/>
        <v>0.71068133013012147</v>
      </c>
      <c r="G16" s="28">
        <v>0.19</v>
      </c>
      <c r="H16" s="28">
        <f t="shared" si="0"/>
        <v>3.5000000000000003E-2</v>
      </c>
      <c r="I16" s="28">
        <v>2.5000000000000001E-2</v>
      </c>
      <c r="J16" s="28">
        <f t="shared" si="1"/>
        <v>2.5000000000000001E-2</v>
      </c>
      <c r="K16" s="28">
        <f t="shared" si="2"/>
        <v>4.1000000000000002E-2</v>
      </c>
      <c r="L16" s="29">
        <f t="shared" si="8"/>
        <v>2126.6181663782668</v>
      </c>
      <c r="M16" s="29">
        <v>37829.9</v>
      </c>
      <c r="N16" s="29">
        <f t="shared" si="5"/>
        <v>56215.273272682891</v>
      </c>
      <c r="O16" s="28">
        <f t="shared" si="3"/>
        <v>0.04</v>
      </c>
      <c r="P16" s="30">
        <f t="shared" si="6"/>
        <v>4.2</v>
      </c>
      <c r="Q16" s="5"/>
      <c r="R16" s="31">
        <f t="shared" si="9"/>
        <v>3.5000000000000003E-2</v>
      </c>
      <c r="S16" s="28">
        <f t="shared" si="9"/>
        <v>4.1000000000000002E-2</v>
      </c>
      <c r="T16" s="28">
        <f t="shared" si="9"/>
        <v>0.04</v>
      </c>
      <c r="U16" s="28">
        <f t="shared" si="9"/>
        <v>1.4999999999999999E-2</v>
      </c>
      <c r="V16" s="28">
        <f t="shared" si="9"/>
        <v>0.02</v>
      </c>
      <c r="W16" s="32">
        <f t="shared" si="10"/>
        <v>3.6999999999999998E-2</v>
      </c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</row>
    <row r="17" spans="1:73">
      <c r="A17" s="12"/>
      <c r="B17" s="13">
        <v>2022</v>
      </c>
      <c r="C17" s="24">
        <v>30</v>
      </c>
      <c r="D17" s="25">
        <v>0.05</v>
      </c>
      <c r="E17" s="26">
        <f t="shared" si="7"/>
        <v>8</v>
      </c>
      <c r="F17" s="27">
        <f t="shared" si="4"/>
        <v>0.67683936202868722</v>
      </c>
      <c r="G17" s="28">
        <v>0.19</v>
      </c>
      <c r="H17" s="28">
        <f t="shared" si="0"/>
        <v>3.5000000000000003E-2</v>
      </c>
      <c r="I17" s="28">
        <v>2.5000000000000001E-2</v>
      </c>
      <c r="J17" s="28">
        <f t="shared" si="1"/>
        <v>2.5000000000000001E-2</v>
      </c>
      <c r="K17" s="28">
        <f t="shared" si="2"/>
        <v>4.1000000000000002E-2</v>
      </c>
      <c r="L17" s="29">
        <f t="shared" si="8"/>
        <v>2213.8095111997754</v>
      </c>
      <c r="M17" s="29">
        <v>37438.1</v>
      </c>
      <c r="N17" s="29">
        <f t="shared" si="5"/>
        <v>59132.528392193395</v>
      </c>
      <c r="O17" s="28">
        <f t="shared" si="3"/>
        <v>0.04</v>
      </c>
      <c r="P17" s="30">
        <f t="shared" si="6"/>
        <v>4.2</v>
      </c>
      <c r="Q17" s="5"/>
      <c r="R17" s="31">
        <f t="shared" si="9"/>
        <v>3.5000000000000003E-2</v>
      </c>
      <c r="S17" s="28">
        <f t="shared" si="9"/>
        <v>4.1000000000000002E-2</v>
      </c>
      <c r="T17" s="28">
        <f t="shared" si="9"/>
        <v>0.04</v>
      </c>
      <c r="U17" s="28">
        <f t="shared" si="9"/>
        <v>1.4999999999999999E-2</v>
      </c>
      <c r="V17" s="28">
        <f t="shared" si="9"/>
        <v>0.02</v>
      </c>
      <c r="W17" s="32">
        <f t="shared" si="10"/>
        <v>3.6999999999999998E-2</v>
      </c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1:73">
      <c r="A18" s="12"/>
      <c r="B18" s="13">
        <v>2023</v>
      </c>
      <c r="C18" s="24">
        <v>30</v>
      </c>
      <c r="D18" s="25">
        <v>0.05</v>
      </c>
      <c r="E18" s="26">
        <f t="shared" si="7"/>
        <v>9</v>
      </c>
      <c r="F18" s="27">
        <f t="shared" si="4"/>
        <v>0.64460891621779726</v>
      </c>
      <c r="G18" s="28">
        <v>0.19</v>
      </c>
      <c r="H18" s="28">
        <f t="shared" si="0"/>
        <v>3.5000000000000003E-2</v>
      </c>
      <c r="I18" s="28">
        <v>2.5000000000000001E-2</v>
      </c>
      <c r="J18" s="28">
        <f t="shared" si="1"/>
        <v>2.5000000000000001E-2</v>
      </c>
      <c r="K18" s="28">
        <f t="shared" si="2"/>
        <v>4.1000000000000002E-2</v>
      </c>
      <c r="L18" s="29">
        <f t="shared" si="8"/>
        <v>2304.5757011589662</v>
      </c>
      <c r="M18" s="29">
        <v>37438.1</v>
      </c>
      <c r="N18" s="29">
        <f t="shared" si="5"/>
        <v>61556.962056273325</v>
      </c>
      <c r="O18" s="28">
        <f t="shared" si="3"/>
        <v>0.04</v>
      </c>
      <c r="P18" s="30">
        <f t="shared" si="6"/>
        <v>4.2</v>
      </c>
      <c r="Q18" s="5"/>
      <c r="R18" s="31">
        <f t="shared" si="9"/>
        <v>3.5000000000000003E-2</v>
      </c>
      <c r="S18" s="28">
        <f t="shared" si="9"/>
        <v>4.1000000000000002E-2</v>
      </c>
      <c r="T18" s="28">
        <f t="shared" si="9"/>
        <v>0.04</v>
      </c>
      <c r="U18" s="28">
        <f t="shared" si="9"/>
        <v>1.4999999999999999E-2</v>
      </c>
      <c r="V18" s="28">
        <f t="shared" si="9"/>
        <v>0.02</v>
      </c>
      <c r="W18" s="32">
        <f t="shared" si="10"/>
        <v>3.6999999999999998E-2</v>
      </c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</row>
    <row r="19" spans="1:73">
      <c r="A19" s="12"/>
      <c r="B19" s="13">
        <v>2024</v>
      </c>
      <c r="C19" s="24">
        <v>30</v>
      </c>
      <c r="D19" s="25">
        <v>0.05</v>
      </c>
      <c r="E19" s="26">
        <f t="shared" si="7"/>
        <v>10</v>
      </c>
      <c r="F19" s="27">
        <f t="shared" si="4"/>
        <v>0.61391325354075932</v>
      </c>
      <c r="G19" s="28">
        <v>0.19</v>
      </c>
      <c r="H19" s="28">
        <f t="shared" si="0"/>
        <v>3.5000000000000003E-2</v>
      </c>
      <c r="I19" s="28">
        <v>2.5000000000000001E-2</v>
      </c>
      <c r="J19" s="28">
        <f t="shared" si="1"/>
        <v>2.5000000000000001E-2</v>
      </c>
      <c r="K19" s="28">
        <f t="shared" si="2"/>
        <v>4.1000000000000002E-2</v>
      </c>
      <c r="L19" s="29">
        <f t="shared" si="8"/>
        <v>2399.0633049064836</v>
      </c>
      <c r="M19" s="29">
        <v>37438.1</v>
      </c>
      <c r="N19" s="29">
        <f t="shared" si="5"/>
        <v>64080.797500580527</v>
      </c>
      <c r="O19" s="28">
        <f t="shared" si="3"/>
        <v>0.04</v>
      </c>
      <c r="P19" s="30">
        <f t="shared" si="6"/>
        <v>4.2</v>
      </c>
      <c r="Q19" s="5"/>
      <c r="R19" s="31">
        <f t="shared" si="9"/>
        <v>3.5000000000000003E-2</v>
      </c>
      <c r="S19" s="28">
        <f t="shared" si="9"/>
        <v>4.1000000000000002E-2</v>
      </c>
      <c r="T19" s="28">
        <f t="shared" si="9"/>
        <v>0.04</v>
      </c>
      <c r="U19" s="28">
        <f t="shared" si="9"/>
        <v>1.4999999999999999E-2</v>
      </c>
      <c r="V19" s="28">
        <f t="shared" si="9"/>
        <v>0.02</v>
      </c>
      <c r="W19" s="32">
        <f t="shared" si="10"/>
        <v>3.6999999999999998E-2</v>
      </c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>
      <c r="A20" s="12"/>
      <c r="B20" s="13">
        <v>2025</v>
      </c>
      <c r="C20" s="24">
        <v>30</v>
      </c>
      <c r="D20" s="25">
        <v>0.05</v>
      </c>
      <c r="E20" s="26">
        <f t="shared" si="7"/>
        <v>11</v>
      </c>
      <c r="F20" s="27">
        <f t="shared" si="4"/>
        <v>0.5846792890864374</v>
      </c>
      <c r="G20" s="28">
        <v>0.19</v>
      </c>
      <c r="H20" s="28">
        <f t="shared" si="0"/>
        <v>3.5000000000000003E-2</v>
      </c>
      <c r="I20" s="28">
        <v>2.5000000000000001E-2</v>
      </c>
      <c r="J20" s="28">
        <f t="shared" si="1"/>
        <v>2.5000000000000001E-2</v>
      </c>
      <c r="K20" s="28">
        <f t="shared" si="2"/>
        <v>4.1000000000000002E-2</v>
      </c>
      <c r="L20" s="29">
        <f t="shared" si="8"/>
        <v>2497.4249004076491</v>
      </c>
      <c r="M20" s="29">
        <v>37438.1</v>
      </c>
      <c r="N20" s="29">
        <f t="shared" si="5"/>
        <v>66708.110198104318</v>
      </c>
      <c r="O20" s="28">
        <f t="shared" si="3"/>
        <v>0.04</v>
      </c>
      <c r="P20" s="30">
        <f t="shared" si="6"/>
        <v>4.2</v>
      </c>
      <c r="Q20" s="5"/>
      <c r="R20" s="31">
        <f t="shared" si="9"/>
        <v>3.5000000000000003E-2</v>
      </c>
      <c r="S20" s="28">
        <f t="shared" si="9"/>
        <v>4.1000000000000002E-2</v>
      </c>
      <c r="T20" s="28">
        <f t="shared" si="9"/>
        <v>0.04</v>
      </c>
      <c r="U20" s="28">
        <f t="shared" si="9"/>
        <v>1.4999999999999999E-2</v>
      </c>
      <c r="V20" s="28">
        <f t="shared" si="9"/>
        <v>0.02</v>
      </c>
      <c r="W20" s="32">
        <f t="shared" si="10"/>
        <v>3.6999999999999998E-2</v>
      </c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</row>
    <row r="21" spans="1:73">
      <c r="A21" s="12"/>
      <c r="B21" s="13">
        <v>2026</v>
      </c>
      <c r="C21" s="24">
        <v>30</v>
      </c>
      <c r="D21" s="25">
        <v>0.05</v>
      </c>
      <c r="E21" s="26">
        <f t="shared" si="7"/>
        <v>12</v>
      </c>
      <c r="F21" s="27">
        <f t="shared" si="4"/>
        <v>0.5568374181775595</v>
      </c>
      <c r="G21" s="28">
        <v>0.19</v>
      </c>
      <c r="H21" s="28">
        <f t="shared" si="0"/>
        <v>3.5000000000000003E-2</v>
      </c>
      <c r="I21" s="28">
        <v>2.5000000000000001E-2</v>
      </c>
      <c r="J21" s="28">
        <f t="shared" si="1"/>
        <v>2.5000000000000001E-2</v>
      </c>
      <c r="K21" s="28">
        <f t="shared" si="2"/>
        <v>4.1000000000000002E-2</v>
      </c>
      <c r="L21" s="29">
        <f t="shared" si="8"/>
        <v>2599.8193213243626</v>
      </c>
      <c r="M21" s="29">
        <v>37438.1</v>
      </c>
      <c r="N21" s="29">
        <f t="shared" si="5"/>
        <v>69443.14271622659</v>
      </c>
      <c r="O21" s="28">
        <f t="shared" si="3"/>
        <v>0.04</v>
      </c>
      <c r="P21" s="30">
        <f t="shared" si="6"/>
        <v>4.2</v>
      </c>
      <c r="Q21" s="5"/>
      <c r="R21" s="31">
        <f t="shared" si="9"/>
        <v>3.5000000000000003E-2</v>
      </c>
      <c r="S21" s="28">
        <f t="shared" si="9"/>
        <v>4.1000000000000002E-2</v>
      </c>
      <c r="T21" s="28">
        <f t="shared" si="9"/>
        <v>0.04</v>
      </c>
      <c r="U21" s="28">
        <f t="shared" si="9"/>
        <v>1.4999999999999999E-2</v>
      </c>
      <c r="V21" s="28">
        <f t="shared" si="9"/>
        <v>0.02</v>
      </c>
      <c r="W21" s="32">
        <f t="shared" si="10"/>
        <v>3.6999999999999998E-2</v>
      </c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</row>
    <row r="22" spans="1:73">
      <c r="A22" s="12"/>
      <c r="B22" s="13">
        <v>2027</v>
      </c>
      <c r="C22" s="24">
        <v>30</v>
      </c>
      <c r="D22" s="25">
        <v>0.05</v>
      </c>
      <c r="E22" s="26">
        <f t="shared" si="7"/>
        <v>13</v>
      </c>
      <c r="F22" s="27">
        <f t="shared" si="4"/>
        <v>0.53032135064529462</v>
      </c>
      <c r="G22" s="28">
        <v>0.19</v>
      </c>
      <c r="H22" s="28">
        <f t="shared" si="0"/>
        <v>3.5000000000000003E-2</v>
      </c>
      <c r="I22" s="28">
        <v>2.5000000000000001E-2</v>
      </c>
      <c r="J22" s="28">
        <f t="shared" si="1"/>
        <v>2.5000000000000001E-2</v>
      </c>
      <c r="K22" s="28">
        <f t="shared" si="2"/>
        <v>4.1000000000000002E-2</v>
      </c>
      <c r="L22" s="29">
        <f t="shared" si="8"/>
        <v>2706.4119134986613</v>
      </c>
      <c r="M22" s="29">
        <v>36796</v>
      </c>
      <c r="N22" s="29">
        <f t="shared" si="5"/>
        <v>73551.796757763383</v>
      </c>
      <c r="O22" s="28">
        <f t="shared" si="3"/>
        <v>0.04</v>
      </c>
      <c r="P22" s="30">
        <f t="shared" si="6"/>
        <v>4.2</v>
      </c>
      <c r="Q22" s="5"/>
      <c r="R22" s="31">
        <f t="shared" si="9"/>
        <v>3.5000000000000003E-2</v>
      </c>
      <c r="S22" s="28">
        <f t="shared" si="9"/>
        <v>4.1000000000000002E-2</v>
      </c>
      <c r="T22" s="28">
        <f t="shared" si="9"/>
        <v>0.04</v>
      </c>
      <c r="U22" s="28">
        <f t="shared" si="9"/>
        <v>1.4999999999999999E-2</v>
      </c>
      <c r="V22" s="28">
        <f t="shared" si="9"/>
        <v>0.02</v>
      </c>
      <c r="W22" s="32">
        <f t="shared" si="10"/>
        <v>3.6999999999999998E-2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</row>
    <row r="23" spans="1:73">
      <c r="A23" s="12"/>
      <c r="B23" s="13">
        <v>2028</v>
      </c>
      <c r="C23" s="24">
        <v>30</v>
      </c>
      <c r="D23" s="25">
        <v>0.05</v>
      </c>
      <c r="E23" s="26">
        <f t="shared" si="7"/>
        <v>14</v>
      </c>
      <c r="F23" s="27">
        <f t="shared" si="4"/>
        <v>0.50506795299551888</v>
      </c>
      <c r="G23" s="28">
        <v>0.19</v>
      </c>
      <c r="H23" s="28">
        <f t="shared" si="0"/>
        <v>3.5000000000000003E-2</v>
      </c>
      <c r="I23" s="28">
        <v>2.5000000000000001E-2</v>
      </c>
      <c r="J23" s="28">
        <f t="shared" si="1"/>
        <v>2.5000000000000001E-2</v>
      </c>
      <c r="K23" s="28">
        <f t="shared" si="2"/>
        <v>4.1000000000000002E-2</v>
      </c>
      <c r="L23" s="29">
        <f t="shared" si="8"/>
        <v>2817.3748019521063</v>
      </c>
      <c r="M23" s="29">
        <v>36796</v>
      </c>
      <c r="N23" s="29">
        <f t="shared" si="5"/>
        <v>76567.420424831682</v>
      </c>
      <c r="O23" s="28">
        <f t="shared" si="3"/>
        <v>0.04</v>
      </c>
      <c r="P23" s="30">
        <f t="shared" si="6"/>
        <v>4.2</v>
      </c>
      <c r="Q23" s="5"/>
      <c r="R23" s="31">
        <f t="shared" si="9"/>
        <v>3.5000000000000003E-2</v>
      </c>
      <c r="S23" s="28">
        <f t="shared" si="9"/>
        <v>4.1000000000000002E-2</v>
      </c>
      <c r="T23" s="28">
        <f t="shared" si="9"/>
        <v>0.04</v>
      </c>
      <c r="U23" s="28">
        <f t="shared" si="9"/>
        <v>1.4999999999999999E-2</v>
      </c>
      <c r="V23" s="28">
        <f t="shared" si="9"/>
        <v>0.02</v>
      </c>
      <c r="W23" s="32">
        <f t="shared" si="10"/>
        <v>3.6999999999999998E-2</v>
      </c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</row>
    <row r="24" spans="1:73">
      <c r="A24" s="12"/>
      <c r="B24" s="13">
        <v>2029</v>
      </c>
      <c r="C24" s="24">
        <v>30</v>
      </c>
      <c r="D24" s="25">
        <v>0.05</v>
      </c>
      <c r="E24" s="26">
        <f t="shared" si="7"/>
        <v>15</v>
      </c>
      <c r="F24" s="27">
        <f t="shared" si="4"/>
        <v>0.48101709809097021</v>
      </c>
      <c r="G24" s="28">
        <v>0.19</v>
      </c>
      <c r="H24" s="28">
        <f t="shared" si="0"/>
        <v>3.5000000000000003E-2</v>
      </c>
      <c r="I24" s="28">
        <v>2.5000000000000001E-2</v>
      </c>
      <c r="J24" s="28">
        <f t="shared" si="1"/>
        <v>2.5000000000000001E-2</v>
      </c>
      <c r="K24" s="28">
        <f t="shared" si="2"/>
        <v>4.1000000000000002E-2</v>
      </c>
      <c r="L24" s="29">
        <f t="shared" si="8"/>
        <v>2932.8871688321424</v>
      </c>
      <c r="M24" s="29">
        <v>36796</v>
      </c>
      <c r="N24" s="29">
        <f t="shared" si="5"/>
        <v>79706.684662249769</v>
      </c>
      <c r="O24" s="28">
        <f t="shared" si="3"/>
        <v>0.04</v>
      </c>
      <c r="P24" s="30">
        <f t="shared" si="6"/>
        <v>4.2</v>
      </c>
      <c r="Q24" s="5"/>
      <c r="R24" s="31">
        <f t="shared" si="9"/>
        <v>3.5000000000000003E-2</v>
      </c>
      <c r="S24" s="28">
        <f t="shared" si="9"/>
        <v>4.1000000000000002E-2</v>
      </c>
      <c r="T24" s="28">
        <f t="shared" si="9"/>
        <v>0.04</v>
      </c>
      <c r="U24" s="28">
        <f t="shared" si="9"/>
        <v>1.4999999999999999E-2</v>
      </c>
      <c r="V24" s="28">
        <f t="shared" si="9"/>
        <v>0.02</v>
      </c>
      <c r="W24" s="32">
        <f t="shared" si="10"/>
        <v>3.6999999999999998E-2</v>
      </c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>
      <c r="A25" s="12"/>
      <c r="B25" s="13">
        <v>2030</v>
      </c>
      <c r="C25" s="24">
        <v>30</v>
      </c>
      <c r="D25" s="25">
        <v>0.05</v>
      </c>
      <c r="E25" s="26">
        <f t="shared" si="7"/>
        <v>16</v>
      </c>
      <c r="F25" s="27">
        <f t="shared" si="4"/>
        <v>0.45811152199140021</v>
      </c>
      <c r="G25" s="28">
        <v>0.19</v>
      </c>
      <c r="H25" s="28">
        <f t="shared" si="0"/>
        <v>3.5000000000000003E-2</v>
      </c>
      <c r="I25" s="28">
        <v>2.5000000000000001E-2</v>
      </c>
      <c r="J25" s="28">
        <f t="shared" si="1"/>
        <v>2.5000000000000001E-2</v>
      </c>
      <c r="K25" s="28">
        <f t="shared" si="2"/>
        <v>4.1000000000000002E-2</v>
      </c>
      <c r="L25" s="29">
        <f t="shared" si="8"/>
        <v>3053.1355427542599</v>
      </c>
      <c r="M25" s="29">
        <v>36796</v>
      </c>
      <c r="N25" s="29">
        <f t="shared" si="5"/>
        <v>82974.658733402001</v>
      </c>
      <c r="O25" s="28">
        <f t="shared" si="3"/>
        <v>0.04</v>
      </c>
      <c r="P25" s="30">
        <f t="shared" si="6"/>
        <v>4.2</v>
      </c>
      <c r="Q25" s="5"/>
      <c r="R25" s="31">
        <f t="shared" si="9"/>
        <v>3.5000000000000003E-2</v>
      </c>
      <c r="S25" s="28">
        <f t="shared" si="9"/>
        <v>4.1000000000000002E-2</v>
      </c>
      <c r="T25" s="28">
        <f t="shared" si="9"/>
        <v>0.04</v>
      </c>
      <c r="U25" s="28">
        <f t="shared" si="9"/>
        <v>1.4999999999999999E-2</v>
      </c>
      <c r="V25" s="28">
        <f t="shared" si="9"/>
        <v>0.02</v>
      </c>
      <c r="W25" s="32">
        <f t="shared" si="10"/>
        <v>3.6999999999999998E-2</v>
      </c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</row>
    <row r="26" spans="1:73">
      <c r="A26" s="12"/>
      <c r="B26" s="13">
        <v>2031</v>
      </c>
      <c r="C26" s="24">
        <v>30</v>
      </c>
      <c r="D26" s="25">
        <v>0.05</v>
      </c>
      <c r="E26" s="26">
        <f t="shared" si="7"/>
        <v>17</v>
      </c>
      <c r="F26" s="27">
        <f t="shared" si="4"/>
        <v>0.43629668761085727</v>
      </c>
      <c r="G26" s="28">
        <v>0.19</v>
      </c>
      <c r="H26" s="28">
        <f t="shared" si="0"/>
        <v>3.5000000000000003E-2</v>
      </c>
      <c r="I26" s="28">
        <v>2.5000000000000001E-2</v>
      </c>
      <c r="J26" s="28">
        <f t="shared" si="1"/>
        <v>2.5000000000000001E-2</v>
      </c>
      <c r="K26" s="28">
        <f t="shared" si="2"/>
        <v>4.1000000000000002E-2</v>
      </c>
      <c r="L26" s="29">
        <f t="shared" si="8"/>
        <v>3178.3141000071842</v>
      </c>
      <c r="M26" s="29">
        <v>36796</v>
      </c>
      <c r="N26" s="29">
        <f t="shared" si="5"/>
        <v>86376.61974147147</v>
      </c>
      <c r="O26" s="28">
        <f t="shared" si="3"/>
        <v>0.04</v>
      </c>
      <c r="P26" s="30">
        <f t="shared" si="6"/>
        <v>4.2</v>
      </c>
      <c r="Q26" s="5"/>
      <c r="R26" s="31">
        <f t="shared" si="9"/>
        <v>3.5000000000000003E-2</v>
      </c>
      <c r="S26" s="28">
        <f t="shared" si="9"/>
        <v>4.1000000000000002E-2</v>
      </c>
      <c r="T26" s="28">
        <f t="shared" si="9"/>
        <v>0.04</v>
      </c>
      <c r="U26" s="28">
        <f t="shared" si="9"/>
        <v>1.4999999999999999E-2</v>
      </c>
      <c r="V26" s="28">
        <f t="shared" si="9"/>
        <v>0.02</v>
      </c>
      <c r="W26" s="32">
        <f t="shared" si="10"/>
        <v>3.6999999999999998E-2</v>
      </c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</row>
    <row r="27" spans="1:73">
      <c r="A27" s="12"/>
      <c r="B27" s="13">
        <v>2032</v>
      </c>
      <c r="C27" s="24">
        <v>30</v>
      </c>
      <c r="D27" s="25">
        <v>0.05</v>
      </c>
      <c r="E27" s="26">
        <f t="shared" si="7"/>
        <v>18</v>
      </c>
      <c r="F27" s="27">
        <f t="shared" si="4"/>
        <v>0.41552065486748313</v>
      </c>
      <c r="G27" s="28">
        <v>0.19</v>
      </c>
      <c r="H27" s="28">
        <f t="shared" si="0"/>
        <v>3.5000000000000003E-2</v>
      </c>
      <c r="I27" s="28">
        <v>2.5000000000000001E-2</v>
      </c>
      <c r="J27" s="28">
        <f t="shared" si="1"/>
        <v>2.5000000000000001E-2</v>
      </c>
      <c r="K27" s="28">
        <f t="shared" si="2"/>
        <v>4.1000000000000002E-2</v>
      </c>
      <c r="L27" s="29">
        <f t="shared" si="8"/>
        <v>3308.6249781074785</v>
      </c>
      <c r="M27" s="29">
        <v>35993.1</v>
      </c>
      <c r="N27" s="29">
        <f t="shared" si="5"/>
        <v>91923.868133266616</v>
      </c>
      <c r="O27" s="28">
        <f t="shared" si="3"/>
        <v>0.04</v>
      </c>
      <c r="P27" s="30">
        <f t="shared" si="6"/>
        <v>4.2</v>
      </c>
      <c r="Q27" s="5"/>
      <c r="R27" s="31">
        <f t="shared" si="9"/>
        <v>3.5000000000000003E-2</v>
      </c>
      <c r="S27" s="28">
        <f t="shared" si="9"/>
        <v>4.1000000000000002E-2</v>
      </c>
      <c r="T27" s="28">
        <f t="shared" si="9"/>
        <v>0.04</v>
      </c>
      <c r="U27" s="28">
        <f t="shared" si="9"/>
        <v>1.4999999999999999E-2</v>
      </c>
      <c r="V27" s="28">
        <f t="shared" si="9"/>
        <v>0.02</v>
      </c>
      <c r="W27" s="32">
        <f t="shared" si="10"/>
        <v>3.6999999999999998E-2</v>
      </c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1:73">
      <c r="A28" s="12"/>
      <c r="B28" s="13">
        <v>2033</v>
      </c>
      <c r="C28" s="24">
        <v>30</v>
      </c>
      <c r="D28" s="25">
        <v>0.05</v>
      </c>
      <c r="E28" s="26">
        <f t="shared" si="7"/>
        <v>19</v>
      </c>
      <c r="F28" s="27">
        <f t="shared" si="4"/>
        <v>0.39573395701665059</v>
      </c>
      <c r="G28" s="28">
        <v>0.19</v>
      </c>
      <c r="H28" s="28">
        <f t="shared" si="0"/>
        <v>3.5000000000000003E-2</v>
      </c>
      <c r="I28" s="28">
        <v>2.5000000000000001E-2</v>
      </c>
      <c r="J28" s="28">
        <f t="shared" si="1"/>
        <v>2.5000000000000001E-2</v>
      </c>
      <c r="K28" s="28">
        <f t="shared" si="2"/>
        <v>4.1000000000000002E-2</v>
      </c>
      <c r="L28" s="29">
        <f t="shared" si="8"/>
        <v>3444.2786022098849</v>
      </c>
      <c r="M28" s="29">
        <v>35993.1</v>
      </c>
      <c r="N28" s="29">
        <f t="shared" si="5"/>
        <v>95692.746726730547</v>
      </c>
      <c r="O28" s="28">
        <f t="shared" si="3"/>
        <v>0.04</v>
      </c>
      <c r="P28" s="30">
        <f t="shared" si="6"/>
        <v>4.2</v>
      </c>
      <c r="Q28" s="5"/>
      <c r="R28" s="31">
        <f t="shared" si="9"/>
        <v>3.5000000000000003E-2</v>
      </c>
      <c r="S28" s="28">
        <f t="shared" si="9"/>
        <v>4.1000000000000002E-2</v>
      </c>
      <c r="T28" s="28">
        <f t="shared" si="9"/>
        <v>0.04</v>
      </c>
      <c r="U28" s="28">
        <f t="shared" si="9"/>
        <v>1.4999999999999999E-2</v>
      </c>
      <c r="V28" s="28">
        <f t="shared" si="9"/>
        <v>0.02</v>
      </c>
      <c r="W28" s="32">
        <f t="shared" si="10"/>
        <v>3.6999999999999998E-2</v>
      </c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</row>
    <row r="29" spans="1:73">
      <c r="A29" s="12"/>
      <c r="B29" s="13">
        <v>2034</v>
      </c>
      <c r="C29" s="24">
        <v>30</v>
      </c>
      <c r="D29" s="25">
        <v>0.05</v>
      </c>
      <c r="E29" s="26">
        <f t="shared" si="7"/>
        <v>20</v>
      </c>
      <c r="F29" s="27">
        <f t="shared" si="4"/>
        <v>0.37688948287300061</v>
      </c>
      <c r="G29" s="28">
        <v>0.19</v>
      </c>
      <c r="H29" s="28">
        <f t="shared" si="0"/>
        <v>3.5000000000000003E-2</v>
      </c>
      <c r="I29" s="28">
        <v>2.5000000000000001E-2</v>
      </c>
      <c r="J29" s="28">
        <f t="shared" si="1"/>
        <v>2.5000000000000001E-2</v>
      </c>
      <c r="K29" s="28">
        <f t="shared" si="2"/>
        <v>4.1000000000000002E-2</v>
      </c>
      <c r="L29" s="29">
        <f t="shared" si="8"/>
        <v>3585.4940249004899</v>
      </c>
      <c r="M29" s="29">
        <v>35993.1</v>
      </c>
      <c r="N29" s="29">
        <f t="shared" si="5"/>
        <v>99616.149342526478</v>
      </c>
      <c r="O29" s="28">
        <f t="shared" si="3"/>
        <v>0.04</v>
      </c>
      <c r="P29" s="30">
        <f t="shared" si="6"/>
        <v>4.2</v>
      </c>
      <c r="Q29" s="5"/>
      <c r="R29" s="31">
        <f t="shared" si="9"/>
        <v>3.5000000000000003E-2</v>
      </c>
      <c r="S29" s="28">
        <f t="shared" si="9"/>
        <v>4.1000000000000002E-2</v>
      </c>
      <c r="T29" s="28">
        <f t="shared" si="9"/>
        <v>0.04</v>
      </c>
      <c r="U29" s="28">
        <f t="shared" si="9"/>
        <v>1.4999999999999999E-2</v>
      </c>
      <c r="V29" s="28">
        <f t="shared" si="9"/>
        <v>0.02</v>
      </c>
      <c r="W29" s="32">
        <f t="shared" si="10"/>
        <v>3.6999999999999998E-2</v>
      </c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0" spans="1:73">
      <c r="A30" s="12"/>
      <c r="B30" s="13">
        <v>2035</v>
      </c>
      <c r="C30" s="24">
        <v>30</v>
      </c>
      <c r="D30" s="25">
        <v>0.05</v>
      </c>
      <c r="E30" s="26">
        <f t="shared" si="7"/>
        <v>21</v>
      </c>
      <c r="F30" s="27">
        <f t="shared" si="4"/>
        <v>0.35894236464095297</v>
      </c>
      <c r="G30" s="28">
        <v>0.19</v>
      </c>
      <c r="H30" s="28">
        <f t="shared" si="0"/>
        <v>3.5000000000000003E-2</v>
      </c>
      <c r="I30" s="28">
        <v>2.5000000000000001E-2</v>
      </c>
      <c r="J30" s="28">
        <f t="shared" si="1"/>
        <v>2.5000000000000001E-2</v>
      </c>
      <c r="K30" s="28">
        <f t="shared" si="2"/>
        <v>4.1000000000000002E-2</v>
      </c>
      <c r="L30" s="29">
        <f t="shared" si="8"/>
        <v>3732.4992799214097</v>
      </c>
      <c r="M30" s="29">
        <v>35993.1</v>
      </c>
      <c r="N30" s="29">
        <f t="shared" si="5"/>
        <v>103700.41146557005</v>
      </c>
      <c r="O30" s="28">
        <f t="shared" si="3"/>
        <v>0.04</v>
      </c>
      <c r="P30" s="30">
        <f t="shared" si="6"/>
        <v>4.2</v>
      </c>
      <c r="Q30" s="5"/>
      <c r="R30" s="31">
        <f t="shared" ref="R30:V39" si="11">R29</f>
        <v>3.5000000000000003E-2</v>
      </c>
      <c r="S30" s="28">
        <f t="shared" si="11"/>
        <v>4.1000000000000002E-2</v>
      </c>
      <c r="T30" s="28">
        <f t="shared" si="11"/>
        <v>0.04</v>
      </c>
      <c r="U30" s="28">
        <f t="shared" si="11"/>
        <v>1.4999999999999999E-2</v>
      </c>
      <c r="V30" s="28">
        <f t="shared" si="11"/>
        <v>0.02</v>
      </c>
      <c r="W30" s="32">
        <f t="shared" si="10"/>
        <v>3.6999999999999998E-2</v>
      </c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</row>
    <row r="31" spans="1:73">
      <c r="A31" s="12"/>
      <c r="B31" s="13">
        <v>2036</v>
      </c>
      <c r="C31" s="24">
        <v>30</v>
      </c>
      <c r="D31" s="25">
        <v>0.05</v>
      </c>
      <c r="E31" s="26">
        <f t="shared" si="7"/>
        <v>22</v>
      </c>
      <c r="F31" s="27">
        <f t="shared" si="4"/>
        <v>0.3418498710866219</v>
      </c>
      <c r="G31" s="28">
        <v>0.19</v>
      </c>
      <c r="H31" s="28">
        <f t="shared" si="0"/>
        <v>3.5000000000000003E-2</v>
      </c>
      <c r="I31" s="28">
        <v>2.5000000000000001E-2</v>
      </c>
      <c r="J31" s="28">
        <f t="shared" si="1"/>
        <v>2.5000000000000001E-2</v>
      </c>
      <c r="K31" s="28">
        <f t="shared" si="2"/>
        <v>4.1000000000000002E-2</v>
      </c>
      <c r="L31" s="29">
        <f t="shared" si="8"/>
        <v>3885.5317503981873</v>
      </c>
      <c r="M31" s="29">
        <v>35993.1</v>
      </c>
      <c r="N31" s="29">
        <f t="shared" si="5"/>
        <v>107952.12833565843</v>
      </c>
      <c r="O31" s="28">
        <f t="shared" si="3"/>
        <v>0.04</v>
      </c>
      <c r="P31" s="30">
        <f t="shared" si="6"/>
        <v>4.2</v>
      </c>
      <c r="Q31" s="5"/>
      <c r="R31" s="31">
        <f t="shared" si="11"/>
        <v>3.5000000000000003E-2</v>
      </c>
      <c r="S31" s="28">
        <f t="shared" si="11"/>
        <v>4.1000000000000002E-2</v>
      </c>
      <c r="T31" s="28">
        <f t="shared" si="11"/>
        <v>0.04</v>
      </c>
      <c r="U31" s="28">
        <f t="shared" si="11"/>
        <v>1.4999999999999999E-2</v>
      </c>
      <c r="V31" s="28">
        <f t="shared" si="11"/>
        <v>0.02</v>
      </c>
      <c r="W31" s="32">
        <f t="shared" si="10"/>
        <v>3.6999999999999998E-2</v>
      </c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</row>
    <row r="32" spans="1:73">
      <c r="A32" s="12"/>
      <c r="B32" s="13">
        <v>2037</v>
      </c>
      <c r="C32" s="24">
        <v>30</v>
      </c>
      <c r="D32" s="25">
        <v>0.05</v>
      </c>
      <c r="E32" s="26">
        <f t="shared" si="7"/>
        <v>23</v>
      </c>
      <c r="F32" s="27">
        <f t="shared" si="4"/>
        <v>0.32557130579678267</v>
      </c>
      <c r="G32" s="28">
        <v>0.19</v>
      </c>
      <c r="H32" s="28">
        <f t="shared" si="0"/>
        <v>3.5000000000000003E-2</v>
      </c>
      <c r="I32" s="28">
        <v>2.5000000000000001E-2</v>
      </c>
      <c r="J32" s="28">
        <f t="shared" si="1"/>
        <v>2.5000000000000001E-2</v>
      </c>
      <c r="K32" s="28">
        <f t="shared" si="2"/>
        <v>4.1000000000000002E-2</v>
      </c>
      <c r="L32" s="29">
        <f t="shared" si="8"/>
        <v>4044.8385521645127</v>
      </c>
      <c r="M32" s="29">
        <v>35994.1</v>
      </c>
      <c r="N32" s="29">
        <f t="shared" si="5"/>
        <v>112375.04347002739</v>
      </c>
      <c r="O32" s="28">
        <f t="shared" si="3"/>
        <v>0.04</v>
      </c>
      <c r="P32" s="30">
        <f t="shared" si="6"/>
        <v>4.2</v>
      </c>
      <c r="R32" s="31">
        <f t="shared" si="11"/>
        <v>3.5000000000000003E-2</v>
      </c>
      <c r="S32" s="28">
        <f t="shared" si="11"/>
        <v>4.1000000000000002E-2</v>
      </c>
      <c r="T32" s="28">
        <f t="shared" si="11"/>
        <v>0.04</v>
      </c>
      <c r="U32" s="28">
        <f t="shared" si="11"/>
        <v>1.4999999999999999E-2</v>
      </c>
      <c r="V32" s="28">
        <f t="shared" si="11"/>
        <v>0.02</v>
      </c>
      <c r="W32" s="32">
        <f t="shared" si="10"/>
        <v>3.6999999999999998E-2</v>
      </c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</row>
    <row r="33" spans="1:23">
      <c r="A33" s="12"/>
      <c r="B33" s="13">
        <v>2038</v>
      </c>
      <c r="C33" s="24">
        <v>30</v>
      </c>
      <c r="D33" s="25">
        <v>0.05</v>
      </c>
      <c r="E33" s="26">
        <f t="shared" si="7"/>
        <v>24</v>
      </c>
      <c r="F33" s="27">
        <f t="shared" si="4"/>
        <v>0.31006791028265024</v>
      </c>
      <c r="G33" s="28">
        <v>0.19</v>
      </c>
      <c r="H33" s="28">
        <f t="shared" si="0"/>
        <v>3.5000000000000003E-2</v>
      </c>
      <c r="I33" s="28">
        <v>2.5000000000000001E-2</v>
      </c>
      <c r="J33" s="28">
        <f t="shared" si="1"/>
        <v>2.5000000000000001E-2</v>
      </c>
      <c r="K33" s="28">
        <f t="shared" si="2"/>
        <v>4.1000000000000002E-2</v>
      </c>
      <c r="L33" s="29">
        <f t="shared" si="8"/>
        <v>4210.6769328032578</v>
      </c>
      <c r="M33" s="29">
        <v>35995.1</v>
      </c>
      <c r="N33" s="29">
        <f t="shared" si="5"/>
        <v>116979.17029826998</v>
      </c>
      <c r="O33" s="28">
        <f t="shared" si="3"/>
        <v>0.04</v>
      </c>
      <c r="P33" s="30">
        <f t="shared" si="6"/>
        <v>4.2</v>
      </c>
      <c r="R33" s="31">
        <f t="shared" si="11"/>
        <v>3.5000000000000003E-2</v>
      </c>
      <c r="S33" s="28">
        <f t="shared" si="11"/>
        <v>4.1000000000000002E-2</v>
      </c>
      <c r="T33" s="28">
        <f t="shared" si="11"/>
        <v>0.04</v>
      </c>
      <c r="U33" s="28">
        <f t="shared" si="11"/>
        <v>1.4999999999999999E-2</v>
      </c>
      <c r="V33" s="28">
        <f t="shared" si="11"/>
        <v>0.02</v>
      </c>
      <c r="W33" s="32">
        <f t="shared" si="10"/>
        <v>3.6999999999999998E-2</v>
      </c>
    </row>
    <row r="34" spans="1:23">
      <c r="A34" s="12"/>
      <c r="B34" s="13">
        <v>2039</v>
      </c>
      <c r="C34" s="24">
        <v>30</v>
      </c>
      <c r="D34" s="25">
        <v>0.05</v>
      </c>
      <c r="E34" s="26">
        <f t="shared" si="7"/>
        <v>25</v>
      </c>
      <c r="F34" s="27">
        <f t="shared" si="4"/>
        <v>0.29530277169776209</v>
      </c>
      <c r="G34" s="28">
        <v>0.19</v>
      </c>
      <c r="H34" s="28">
        <f t="shared" si="0"/>
        <v>3.5000000000000003E-2</v>
      </c>
      <c r="I34" s="28">
        <v>2.5000000000000001E-2</v>
      </c>
      <c r="J34" s="28">
        <f t="shared" si="1"/>
        <v>2.5000000000000001E-2</v>
      </c>
      <c r="K34" s="28">
        <f t="shared" si="2"/>
        <v>4.1000000000000002E-2</v>
      </c>
      <c r="L34" s="29">
        <f>L33*(1+K34)</f>
        <v>4383.3146870481914</v>
      </c>
      <c r="M34" s="29">
        <v>35996.1</v>
      </c>
      <c r="N34" s="29">
        <f t="shared" si="5"/>
        <v>121771.9332663314</v>
      </c>
      <c r="O34" s="28">
        <f t="shared" si="3"/>
        <v>0.04</v>
      </c>
      <c r="P34" s="30">
        <f t="shared" si="6"/>
        <v>4.2</v>
      </c>
      <c r="R34" s="31">
        <f t="shared" si="11"/>
        <v>3.5000000000000003E-2</v>
      </c>
      <c r="S34" s="28">
        <f t="shared" si="11"/>
        <v>4.1000000000000002E-2</v>
      </c>
      <c r="T34" s="28">
        <f t="shared" si="11"/>
        <v>0.04</v>
      </c>
      <c r="U34" s="28">
        <f t="shared" si="11"/>
        <v>1.4999999999999999E-2</v>
      </c>
      <c r="V34" s="28">
        <f t="shared" si="11"/>
        <v>0.02</v>
      </c>
      <c r="W34" s="32">
        <f t="shared" si="10"/>
        <v>3.6999999999999998E-2</v>
      </c>
    </row>
    <row r="35" spans="1:23">
      <c r="A35" s="12"/>
      <c r="B35" s="13">
        <v>2040</v>
      </c>
      <c r="C35" s="24">
        <v>30</v>
      </c>
      <c r="D35" s="25">
        <v>0.05</v>
      </c>
      <c r="E35" s="26">
        <f t="shared" si="7"/>
        <v>26</v>
      </c>
      <c r="F35" s="27">
        <f t="shared" si="4"/>
        <v>0.28124073495024959</v>
      </c>
      <c r="G35" s="28">
        <v>0.19</v>
      </c>
      <c r="H35" s="28">
        <f t="shared" si="0"/>
        <v>3.5000000000000003E-2</v>
      </c>
      <c r="I35" s="28">
        <v>2.5000000000000001E-2</v>
      </c>
      <c r="J35" s="28">
        <f t="shared" si="1"/>
        <v>2.5000000000000001E-2</v>
      </c>
      <c r="K35" s="28">
        <f t="shared" si="2"/>
        <v>4.1000000000000002E-2</v>
      </c>
      <c r="L35" s="29">
        <f t="shared" si="8"/>
        <v>4563.0305892171673</v>
      </c>
      <c r="M35" s="29">
        <v>35997.1</v>
      </c>
      <c r="N35" s="29">
        <f t="shared" si="5"/>
        <v>126761.0610081692</v>
      </c>
      <c r="O35" s="28">
        <f t="shared" si="3"/>
        <v>0.04</v>
      </c>
      <c r="P35" s="30">
        <f t="shared" si="6"/>
        <v>4.2</v>
      </c>
      <c r="R35" s="31">
        <f t="shared" si="11"/>
        <v>3.5000000000000003E-2</v>
      </c>
      <c r="S35" s="28">
        <f t="shared" si="11"/>
        <v>4.1000000000000002E-2</v>
      </c>
      <c r="T35" s="28">
        <f t="shared" si="11"/>
        <v>0.04</v>
      </c>
      <c r="U35" s="28">
        <f t="shared" si="11"/>
        <v>1.4999999999999999E-2</v>
      </c>
      <c r="V35" s="28">
        <f t="shared" si="11"/>
        <v>0.02</v>
      </c>
      <c r="W35" s="32">
        <f t="shared" si="10"/>
        <v>3.6999999999999998E-2</v>
      </c>
    </row>
    <row r="36" spans="1:23">
      <c r="A36" s="12"/>
      <c r="B36" s="13">
        <v>2041</v>
      </c>
      <c r="C36" s="24">
        <v>30</v>
      </c>
      <c r="D36" s="25">
        <v>0.05</v>
      </c>
      <c r="E36" s="26">
        <f t="shared" si="7"/>
        <v>27</v>
      </c>
      <c r="F36" s="27">
        <f t="shared" si="4"/>
        <v>0.2678483190002377</v>
      </c>
      <c r="G36" s="28">
        <v>0.19</v>
      </c>
      <c r="H36" s="28">
        <f t="shared" si="0"/>
        <v>3.5000000000000003E-2</v>
      </c>
      <c r="I36" s="28">
        <v>2.5000000000000001E-2</v>
      </c>
      <c r="J36" s="28">
        <f t="shared" si="1"/>
        <v>2.5000000000000001E-2</v>
      </c>
      <c r="K36" s="28">
        <f t="shared" si="2"/>
        <v>4.1000000000000002E-2</v>
      </c>
      <c r="L36" s="29">
        <f t="shared" si="8"/>
        <v>4750.1148433750704</v>
      </c>
      <c r="M36" s="29">
        <v>35998.1</v>
      </c>
      <c r="N36" s="29">
        <f t="shared" si="5"/>
        <v>131954.5988086891</v>
      </c>
      <c r="O36" s="28">
        <f t="shared" si="3"/>
        <v>0.04</v>
      </c>
      <c r="P36" s="30">
        <f t="shared" si="6"/>
        <v>4.2</v>
      </c>
      <c r="R36" s="31">
        <f t="shared" si="11"/>
        <v>3.5000000000000003E-2</v>
      </c>
      <c r="S36" s="28">
        <f t="shared" si="11"/>
        <v>4.1000000000000002E-2</v>
      </c>
      <c r="T36" s="28">
        <f t="shared" si="11"/>
        <v>0.04</v>
      </c>
      <c r="U36" s="28">
        <f t="shared" si="11"/>
        <v>1.4999999999999999E-2</v>
      </c>
      <c r="V36" s="28">
        <f t="shared" si="11"/>
        <v>0.02</v>
      </c>
      <c r="W36" s="32">
        <f t="shared" si="10"/>
        <v>3.6999999999999998E-2</v>
      </c>
    </row>
    <row r="37" spans="1:23">
      <c r="A37" s="12"/>
      <c r="B37" s="13">
        <v>2042</v>
      </c>
      <c r="C37" s="24">
        <v>30</v>
      </c>
      <c r="D37" s="25">
        <v>0.05</v>
      </c>
      <c r="E37" s="26">
        <f t="shared" si="7"/>
        <v>28</v>
      </c>
      <c r="F37" s="27">
        <f t="shared" si="4"/>
        <v>0.25509363714308358</v>
      </c>
      <c r="G37" s="28">
        <v>0.19</v>
      </c>
      <c r="H37" s="28">
        <f t="shared" si="0"/>
        <v>3.5000000000000003E-2</v>
      </c>
      <c r="I37" s="28">
        <v>2.5000000000000001E-2</v>
      </c>
      <c r="J37" s="28">
        <f t="shared" si="1"/>
        <v>2.5000000000000001E-2</v>
      </c>
      <c r="K37" s="28">
        <f t="shared" si="2"/>
        <v>4.1000000000000002E-2</v>
      </c>
      <c r="L37" s="29">
        <f t="shared" si="8"/>
        <v>4944.8695519534476</v>
      </c>
      <c r="M37" s="29">
        <v>35999.1</v>
      </c>
      <c r="N37" s="29">
        <f t="shared" si="5"/>
        <v>137360.92157730187</v>
      </c>
      <c r="O37" s="28">
        <f t="shared" si="3"/>
        <v>0.04</v>
      </c>
      <c r="P37" s="30">
        <f t="shared" si="6"/>
        <v>4.2</v>
      </c>
      <c r="R37" s="31">
        <f t="shared" si="11"/>
        <v>3.5000000000000003E-2</v>
      </c>
      <c r="S37" s="28">
        <f t="shared" si="11"/>
        <v>4.1000000000000002E-2</v>
      </c>
      <c r="T37" s="28">
        <f t="shared" si="11"/>
        <v>0.04</v>
      </c>
      <c r="U37" s="28">
        <f t="shared" si="11"/>
        <v>1.4999999999999999E-2</v>
      </c>
      <c r="V37" s="28">
        <f t="shared" si="11"/>
        <v>0.02</v>
      </c>
      <c r="W37" s="32">
        <f t="shared" si="10"/>
        <v>3.6999999999999998E-2</v>
      </c>
    </row>
    <row r="38" spans="1:23">
      <c r="A38" s="12"/>
      <c r="B38" s="13">
        <v>2043</v>
      </c>
      <c r="C38" s="24">
        <v>30</v>
      </c>
      <c r="D38" s="25">
        <v>0.05</v>
      </c>
      <c r="E38" s="26">
        <f t="shared" si="7"/>
        <v>29</v>
      </c>
      <c r="F38" s="27">
        <f t="shared" si="4"/>
        <v>0.24294632108865097</v>
      </c>
      <c r="G38" s="28">
        <v>0.19</v>
      </c>
      <c r="H38" s="28">
        <f t="shared" si="0"/>
        <v>3.5000000000000003E-2</v>
      </c>
      <c r="I38" s="28">
        <v>2.5000000000000001E-2</v>
      </c>
      <c r="J38" s="28">
        <f t="shared" si="1"/>
        <v>2.5000000000000001E-2</v>
      </c>
      <c r="K38" s="28">
        <f t="shared" si="2"/>
        <v>4.1000000000000002E-2</v>
      </c>
      <c r="L38" s="29">
        <f t="shared" si="8"/>
        <v>5147.6092035835391</v>
      </c>
      <c r="M38" s="29">
        <v>35999.1</v>
      </c>
      <c r="N38" s="29">
        <f t="shared" si="5"/>
        <v>142992.71936197125</v>
      </c>
      <c r="O38" s="28">
        <f t="shared" si="3"/>
        <v>0.04</v>
      </c>
      <c r="P38" s="30">
        <f t="shared" si="6"/>
        <v>4.2</v>
      </c>
      <c r="R38" s="31">
        <f t="shared" si="11"/>
        <v>3.5000000000000003E-2</v>
      </c>
      <c r="S38" s="28">
        <f t="shared" si="11"/>
        <v>4.1000000000000002E-2</v>
      </c>
      <c r="T38" s="28">
        <f t="shared" si="11"/>
        <v>0.04</v>
      </c>
      <c r="U38" s="28">
        <f t="shared" si="11"/>
        <v>1.4999999999999999E-2</v>
      </c>
      <c r="V38" s="28">
        <f t="shared" si="11"/>
        <v>0.02</v>
      </c>
      <c r="W38" s="32">
        <f t="shared" si="10"/>
        <v>3.6999999999999998E-2</v>
      </c>
    </row>
    <row r="39" spans="1:23">
      <c r="A39" s="12"/>
      <c r="B39" s="13">
        <v>2044</v>
      </c>
      <c r="C39" s="24">
        <v>30</v>
      </c>
      <c r="D39" s="25">
        <v>0.05</v>
      </c>
      <c r="E39" s="26">
        <f t="shared" si="7"/>
        <v>30</v>
      </c>
      <c r="F39" s="27">
        <f t="shared" si="4"/>
        <v>0.23137744865585813</v>
      </c>
      <c r="G39" s="28">
        <v>0.19</v>
      </c>
      <c r="H39" s="28">
        <f t="shared" si="0"/>
        <v>3.5000000000000003E-2</v>
      </c>
      <c r="I39" s="28">
        <v>2.5000000000000001E-2</v>
      </c>
      <c r="J39" s="28">
        <f t="shared" si="1"/>
        <v>2.5000000000000001E-2</v>
      </c>
      <c r="K39" s="28">
        <f t="shared" si="2"/>
        <v>4.1000000000000002E-2</v>
      </c>
      <c r="L39" s="29">
        <f t="shared" si="8"/>
        <v>5358.6611809304641</v>
      </c>
      <c r="M39" s="29">
        <v>35999.1</v>
      </c>
      <c r="N39" s="29">
        <f t="shared" si="5"/>
        <v>148855.42085581209</v>
      </c>
      <c r="O39" s="28">
        <f t="shared" si="3"/>
        <v>0.04</v>
      </c>
      <c r="P39" s="30">
        <f t="shared" si="6"/>
        <v>4.2</v>
      </c>
      <c r="R39" s="31">
        <f t="shared" si="11"/>
        <v>3.5000000000000003E-2</v>
      </c>
      <c r="S39" s="28">
        <f t="shared" si="11"/>
        <v>4.1000000000000002E-2</v>
      </c>
      <c r="T39" s="28">
        <f t="shared" si="11"/>
        <v>0.04</v>
      </c>
      <c r="U39" s="28">
        <f t="shared" si="11"/>
        <v>1.4999999999999999E-2</v>
      </c>
      <c r="V39" s="28">
        <f t="shared" si="11"/>
        <v>0.02</v>
      </c>
      <c r="W39" s="32">
        <f t="shared" si="10"/>
        <v>3.6999999999999998E-2</v>
      </c>
    </row>
    <row r="41" spans="1:23" s="2" customFormat="1" ht="27" customHeight="1">
      <c r="A41" s="1" t="s">
        <v>30</v>
      </c>
      <c r="E41" s="3"/>
    </row>
    <row r="43" spans="1:23" ht="21">
      <c r="C43" s="33" t="s">
        <v>31</v>
      </c>
      <c r="D43" s="33" t="s">
        <v>32</v>
      </c>
    </row>
    <row r="44" spans="1:23" ht="33.75" customHeight="1">
      <c r="A44" s="134" t="s">
        <v>33</v>
      </c>
      <c r="B44" s="134"/>
      <c r="C44" s="34">
        <v>0.82</v>
      </c>
      <c r="D44" s="34">
        <f>1-C44</f>
        <v>0.18000000000000005</v>
      </c>
    </row>
    <row r="45" spans="1:23" ht="33.75" customHeight="1">
      <c r="A45" s="134" t="s">
        <v>34</v>
      </c>
      <c r="B45" s="134"/>
      <c r="C45" s="34">
        <v>0.76</v>
      </c>
      <c r="D45" s="34">
        <f>1-C45</f>
        <v>0.24</v>
      </c>
    </row>
    <row r="47" spans="1:23" s="2" customFormat="1" ht="27" customHeight="1">
      <c r="A47" s="1" t="s">
        <v>35</v>
      </c>
      <c r="E47" s="3"/>
    </row>
    <row r="49" spans="1:13" ht="31.5">
      <c r="A49" s="146" t="s">
        <v>224</v>
      </c>
      <c r="B49" s="147"/>
      <c r="C49" s="99" t="s">
        <v>223</v>
      </c>
      <c r="D49" s="99" t="s">
        <v>214</v>
      </c>
      <c r="E49" s="99" t="s">
        <v>215</v>
      </c>
      <c r="F49" s="99" t="s">
        <v>216</v>
      </c>
      <c r="G49" s="99" t="s">
        <v>217</v>
      </c>
      <c r="H49" s="99" t="s">
        <v>218</v>
      </c>
      <c r="I49" s="99" t="s">
        <v>219</v>
      </c>
      <c r="J49" s="99" t="s">
        <v>220</v>
      </c>
      <c r="K49" s="99" t="s">
        <v>221</v>
      </c>
      <c r="L49" s="99" t="s">
        <v>222</v>
      </c>
      <c r="M49" s="99" t="s">
        <v>169</v>
      </c>
    </row>
    <row r="50" spans="1:13">
      <c r="A50" s="148" t="s">
        <v>212</v>
      </c>
      <c r="B50" s="149"/>
      <c r="C50" s="88">
        <v>734965.48200000008</v>
      </c>
      <c r="D50" s="89">
        <v>3.2973561729769796</v>
      </c>
      <c r="E50" s="89">
        <v>4.0606890943399341</v>
      </c>
      <c r="F50" s="89">
        <v>3.2655790830191753</v>
      </c>
      <c r="G50" s="89">
        <v>3.1669183488046633</v>
      </c>
      <c r="H50" s="89">
        <v>6.816829822333613</v>
      </c>
      <c r="I50" s="89">
        <v>2.7555316814523079</v>
      </c>
      <c r="J50" s="89">
        <v>1.3150808316486899</v>
      </c>
      <c r="K50" s="89">
        <v>1.2049359328758047</v>
      </c>
      <c r="L50" s="89">
        <v>0.44169148560034438</v>
      </c>
      <c r="M50" s="89">
        <v>26.324612453051515</v>
      </c>
    </row>
    <row r="51" spans="1:13">
      <c r="A51" s="148" t="s">
        <v>213</v>
      </c>
      <c r="B51" s="149"/>
      <c r="C51" s="88">
        <v>4749231.3790000016</v>
      </c>
      <c r="D51" s="89">
        <v>5.6055054940608651</v>
      </c>
      <c r="E51" s="89">
        <v>4.0477363380581473</v>
      </c>
      <c r="F51" s="89">
        <v>3.2655790830191753</v>
      </c>
      <c r="G51" s="89">
        <v>3.1669183488046633</v>
      </c>
      <c r="H51" s="89">
        <v>6.816829822333613</v>
      </c>
      <c r="I51" s="89">
        <v>2.7555316814523079</v>
      </c>
      <c r="J51" s="89">
        <v>1.3150808316486899</v>
      </c>
      <c r="K51" s="89">
        <v>1.2049359328758047</v>
      </c>
      <c r="L51" s="89">
        <v>0.44169148560034438</v>
      </c>
      <c r="M51" s="89">
        <v>28.619809017853612</v>
      </c>
    </row>
    <row r="53" spans="1:13" ht="31.5">
      <c r="A53" s="146" t="s">
        <v>226</v>
      </c>
      <c r="B53" s="147"/>
      <c r="C53" s="99" t="s">
        <v>223</v>
      </c>
      <c r="D53" s="99" t="s">
        <v>214</v>
      </c>
      <c r="E53" s="99" t="s">
        <v>215</v>
      </c>
      <c r="F53" s="99" t="s">
        <v>216</v>
      </c>
      <c r="G53" s="99" t="s">
        <v>217</v>
      </c>
      <c r="H53" s="99" t="s">
        <v>218</v>
      </c>
      <c r="I53" s="99" t="s">
        <v>219</v>
      </c>
      <c r="J53" s="99" t="s">
        <v>220</v>
      </c>
      <c r="K53" s="99" t="s">
        <v>221</v>
      </c>
      <c r="L53" s="99" t="s">
        <v>222</v>
      </c>
      <c r="M53" s="99" t="s">
        <v>169</v>
      </c>
    </row>
    <row r="54" spans="1:13">
      <c r="A54" s="148" t="s">
        <v>212</v>
      </c>
      <c r="B54" s="149"/>
      <c r="C54" s="89">
        <v>641551.46100000001</v>
      </c>
      <c r="D54" s="89">
        <v>5.9612729840208427</v>
      </c>
      <c r="E54" s="89">
        <v>4.3697263063711116</v>
      </c>
      <c r="F54" s="89">
        <v>3.2599790757721481</v>
      </c>
      <c r="G54" s="89">
        <v>3.0218274237318541</v>
      </c>
      <c r="H54" s="89">
        <v>5.1407792455992176</v>
      </c>
      <c r="I54" s="89">
        <v>3.002814977179137</v>
      </c>
      <c r="J54" s="89">
        <v>1.5289925036041594</v>
      </c>
      <c r="K54" s="89">
        <v>1.7319088335202848</v>
      </c>
      <c r="L54" s="89">
        <v>0</v>
      </c>
      <c r="M54" s="89">
        <v>28.017301349798753</v>
      </c>
    </row>
    <row r="55" spans="1:13">
      <c r="A55" s="148" t="s">
        <v>213</v>
      </c>
      <c r="B55" s="149"/>
      <c r="C55" s="89">
        <v>5151359.5490000006</v>
      </c>
      <c r="D55" s="89">
        <v>6.3668680000287834</v>
      </c>
      <c r="E55" s="89">
        <v>4.3557877854576468</v>
      </c>
      <c r="F55" s="89">
        <v>3.2599790757721481</v>
      </c>
      <c r="G55" s="89">
        <v>3.0218274237318541</v>
      </c>
      <c r="H55" s="89">
        <v>5.1407792455992176</v>
      </c>
      <c r="I55" s="89">
        <v>3.002814977179137</v>
      </c>
      <c r="J55" s="89">
        <v>1.5289925036041594</v>
      </c>
      <c r="K55" s="89">
        <v>1.7319088335202848</v>
      </c>
      <c r="L55" s="89">
        <v>0</v>
      </c>
      <c r="M55" s="89">
        <v>28.408957844893234</v>
      </c>
    </row>
    <row r="57" spans="1:13" ht="31.5">
      <c r="A57" s="146" t="s">
        <v>259</v>
      </c>
      <c r="B57" s="147"/>
      <c r="C57" s="99" t="s">
        <v>223</v>
      </c>
      <c r="D57" s="99" t="s">
        <v>214</v>
      </c>
      <c r="E57" s="99" t="s">
        <v>215</v>
      </c>
      <c r="F57" s="99" t="s">
        <v>216</v>
      </c>
      <c r="G57" s="99" t="s">
        <v>217</v>
      </c>
      <c r="H57" s="99" t="s">
        <v>218</v>
      </c>
      <c r="I57" s="99" t="s">
        <v>219</v>
      </c>
      <c r="J57" s="99" t="s">
        <v>220</v>
      </c>
      <c r="K57" s="99" t="s">
        <v>221</v>
      </c>
      <c r="L57" s="99" t="s">
        <v>222</v>
      </c>
      <c r="M57" s="99" t="s">
        <v>169</v>
      </c>
    </row>
    <row r="58" spans="1:13">
      <c r="A58" s="148" t="s">
        <v>212</v>
      </c>
      <c r="B58" s="149"/>
      <c r="C58" s="88">
        <f>C50+C54</f>
        <v>1376516.943</v>
      </c>
      <c r="D58" s="89">
        <f t="shared" ref="D58:L58" si="12">($C54*D54+$C50*D50)/($C54+$C50)</f>
        <v>4.5389244157789514</v>
      </c>
      <c r="E58" s="89">
        <f t="shared" si="12"/>
        <v>4.2047216657443016</v>
      </c>
      <c r="F58" s="89">
        <f t="shared" si="12"/>
        <v>3.2629690949262495</v>
      </c>
      <c r="G58" s="89">
        <f t="shared" si="12"/>
        <v>3.099296010095606</v>
      </c>
      <c r="H58" s="89">
        <f t="shared" si="12"/>
        <v>6.0356751103034219</v>
      </c>
      <c r="I58" s="89">
        <f t="shared" si="12"/>
        <v>2.8707826854164797</v>
      </c>
      <c r="J58" s="89">
        <f t="shared" si="12"/>
        <v>1.4147783663327831</v>
      </c>
      <c r="K58" s="89">
        <f t="shared" si="12"/>
        <v>1.450541507173392</v>
      </c>
      <c r="L58" s="89">
        <f t="shared" si="12"/>
        <v>0.23583290947516741</v>
      </c>
      <c r="M58" s="89">
        <f>SUM(D58:L58)</f>
        <v>27.11352176524635</v>
      </c>
    </row>
    <row r="59" spans="1:13">
      <c r="A59" s="148" t="s">
        <v>213</v>
      </c>
      <c r="B59" s="149"/>
      <c r="C59" s="88">
        <f>C51+C55</f>
        <v>9900590.9280000031</v>
      </c>
      <c r="D59" s="89">
        <f t="shared" ref="D59:L59" si="13">($C55*D55+$C51*D51)/($C55+$C51)</f>
        <v>6.0016487186310661</v>
      </c>
      <c r="E59" s="89">
        <f t="shared" si="13"/>
        <v>4.2080180602992696</v>
      </c>
      <c r="F59" s="89">
        <f t="shared" si="13"/>
        <v>3.2626653528169847</v>
      </c>
      <c r="G59" s="89">
        <f t="shared" si="13"/>
        <v>3.0914263374911481</v>
      </c>
      <c r="H59" s="89">
        <f t="shared" si="13"/>
        <v>5.9447668105541922</v>
      </c>
      <c r="I59" s="89">
        <f t="shared" si="13"/>
        <v>2.8841952305287588</v>
      </c>
      <c r="J59" s="89">
        <f t="shared" si="13"/>
        <v>1.4263808481814364</v>
      </c>
      <c r="K59" s="89">
        <f t="shared" si="13"/>
        <v>1.4791243023924052</v>
      </c>
      <c r="L59" s="89">
        <f t="shared" si="13"/>
        <v>0.21187574342838075</v>
      </c>
      <c r="M59" s="89">
        <f>SUM(D59:L59)</f>
        <v>28.510101404323642</v>
      </c>
    </row>
    <row r="61" spans="1:13" ht="31.5">
      <c r="A61" s="146"/>
      <c r="B61" s="147"/>
      <c r="C61" s="99"/>
      <c r="D61" s="99" t="s">
        <v>214</v>
      </c>
      <c r="E61" s="99" t="s">
        <v>215</v>
      </c>
      <c r="F61" s="99" t="s">
        <v>216</v>
      </c>
      <c r="G61" s="99" t="s">
        <v>217</v>
      </c>
      <c r="H61" s="99" t="s">
        <v>218</v>
      </c>
      <c r="I61" s="99" t="s">
        <v>219</v>
      </c>
      <c r="J61" s="99" t="s">
        <v>220</v>
      </c>
      <c r="K61" s="99" t="s">
        <v>221</v>
      </c>
      <c r="L61" s="99" t="s">
        <v>222</v>
      </c>
      <c r="M61" s="99" t="s">
        <v>169</v>
      </c>
    </row>
    <row r="62" spans="1:13">
      <c r="A62" s="148" t="s">
        <v>212</v>
      </c>
      <c r="B62" s="149"/>
      <c r="C62" s="88"/>
      <c r="D62" s="115">
        <f>D58/$M$58</f>
        <v>0.16740445800725406</v>
      </c>
      <c r="E62" s="115">
        <f t="shared" ref="E62:M62" si="14">E58/$M$58</f>
        <v>0.15507840339405271</v>
      </c>
      <c r="F62" s="115">
        <f t="shared" si="14"/>
        <v>0.12034471667596748</v>
      </c>
      <c r="G62" s="115">
        <f t="shared" si="14"/>
        <v>0.11430813145300182</v>
      </c>
      <c r="H62" s="115">
        <f t="shared" si="14"/>
        <v>0.22260756690190822</v>
      </c>
      <c r="I62" s="115">
        <f t="shared" si="14"/>
        <v>0.10588011067954294</v>
      </c>
      <c r="J62" s="115">
        <f t="shared" si="14"/>
        <v>5.2179808236723489E-2</v>
      </c>
      <c r="K62" s="115">
        <f t="shared" si="14"/>
        <v>5.3498823197238483E-2</v>
      </c>
      <c r="L62" s="115">
        <f t="shared" si="14"/>
        <v>8.6979814543108897E-3</v>
      </c>
      <c r="M62" s="115">
        <f t="shared" si="14"/>
        <v>1</v>
      </c>
    </row>
    <row r="63" spans="1:13">
      <c r="A63" s="148" t="s">
        <v>213</v>
      </c>
      <c r="B63" s="149"/>
      <c r="C63" s="88"/>
      <c r="D63" s="115">
        <f>D59/$M$59</f>
        <v>0.21050955356198411</v>
      </c>
      <c r="E63" s="115">
        <f t="shared" ref="E63:M63" si="15">E59/$M$59</f>
        <v>0.14759744276676304</v>
      </c>
      <c r="F63" s="115">
        <f t="shared" si="15"/>
        <v>0.11443892487601576</v>
      </c>
      <c r="G63" s="115">
        <f t="shared" si="15"/>
        <v>0.10843266720273131</v>
      </c>
      <c r="H63" s="115">
        <f t="shared" si="15"/>
        <v>0.20851440428944426</v>
      </c>
      <c r="I63" s="115">
        <f t="shared" si="15"/>
        <v>0.10116397657187434</v>
      </c>
      <c r="J63" s="115">
        <f t="shared" si="15"/>
        <v>5.0030718163812687E-2</v>
      </c>
      <c r="K63" s="115">
        <f t="shared" si="15"/>
        <v>5.188070997769554E-2</v>
      </c>
      <c r="L63" s="115">
        <f t="shared" si="15"/>
        <v>7.4316025896789401E-3</v>
      </c>
      <c r="M63" s="115">
        <f t="shared" si="15"/>
        <v>1</v>
      </c>
    </row>
    <row r="65" spans="1:17" ht="12.75" customHeight="1">
      <c r="A65" s="135" t="s">
        <v>36</v>
      </c>
      <c r="B65" s="136"/>
      <c r="C65" s="136"/>
      <c r="D65" s="136"/>
      <c r="E65" s="136"/>
      <c r="F65" s="136"/>
      <c r="G65" s="136"/>
      <c r="H65" s="137"/>
      <c r="J65" s="135" t="s">
        <v>37</v>
      </c>
      <c r="K65" s="136"/>
      <c r="L65" s="136"/>
      <c r="M65" s="136"/>
      <c r="N65" s="136"/>
      <c r="O65" s="136"/>
      <c r="P65" s="136"/>
      <c r="Q65" s="137"/>
    </row>
    <row r="66" spans="1:17">
      <c r="A66" s="134" t="s">
        <v>5</v>
      </c>
      <c r="B66" s="134"/>
      <c r="C66" s="6">
        <v>1</v>
      </c>
      <c r="D66" s="6">
        <v>2</v>
      </c>
      <c r="E66" s="6">
        <v>3</v>
      </c>
      <c r="F66" s="6">
        <v>4</v>
      </c>
      <c r="G66" s="6">
        <v>5</v>
      </c>
      <c r="H66" s="6">
        <v>6</v>
      </c>
      <c r="J66" s="134" t="s">
        <v>5</v>
      </c>
      <c r="K66" s="134"/>
      <c r="L66" s="6">
        <v>1</v>
      </c>
      <c r="M66" s="6">
        <v>2</v>
      </c>
      <c r="N66" s="6">
        <v>3</v>
      </c>
      <c r="O66" s="6">
        <v>4</v>
      </c>
      <c r="P66" s="6">
        <v>5</v>
      </c>
      <c r="Q66" s="6">
        <v>6</v>
      </c>
    </row>
    <row r="67" spans="1:17" ht="42">
      <c r="A67" s="134" t="s">
        <v>6</v>
      </c>
      <c r="B67" s="134"/>
      <c r="C67" s="35" t="s">
        <v>61</v>
      </c>
      <c r="D67" s="35" t="s">
        <v>62</v>
      </c>
      <c r="E67" s="35" t="s">
        <v>63</v>
      </c>
      <c r="F67" s="35" t="s">
        <v>64</v>
      </c>
      <c r="G67" s="35" t="s">
        <v>65</v>
      </c>
      <c r="H67" s="35" t="s">
        <v>326</v>
      </c>
      <c r="J67" s="134" t="s">
        <v>6</v>
      </c>
      <c r="K67" s="134"/>
      <c r="L67" s="35" t="s">
        <v>61</v>
      </c>
      <c r="M67" s="35" t="s">
        <v>62</v>
      </c>
      <c r="N67" s="35" t="s">
        <v>63</v>
      </c>
      <c r="O67" s="35" t="s">
        <v>64</v>
      </c>
      <c r="P67" s="35" t="s">
        <v>65</v>
      </c>
      <c r="Q67" s="35" t="s">
        <v>326</v>
      </c>
    </row>
    <row r="68" spans="1:17">
      <c r="A68" s="8"/>
      <c r="B68" s="9" t="s">
        <v>22</v>
      </c>
      <c r="C68" s="36" t="s">
        <v>38</v>
      </c>
      <c r="D68" s="36" t="s">
        <v>38</v>
      </c>
      <c r="E68" s="36" t="s">
        <v>38</v>
      </c>
      <c r="F68" s="36" t="s">
        <v>38</v>
      </c>
      <c r="G68" s="36" t="s">
        <v>38</v>
      </c>
      <c r="H68" s="36" t="s">
        <v>38</v>
      </c>
      <c r="J68" s="8"/>
      <c r="K68" s="9" t="s">
        <v>22</v>
      </c>
      <c r="L68" s="36" t="s">
        <v>38</v>
      </c>
      <c r="M68" s="36" t="s">
        <v>38</v>
      </c>
      <c r="N68" s="36" t="s">
        <v>38</v>
      </c>
      <c r="O68" s="36" t="s">
        <v>38</v>
      </c>
      <c r="P68" s="36" t="s">
        <v>38</v>
      </c>
      <c r="Q68" s="36" t="s">
        <v>38</v>
      </c>
    </row>
    <row r="69" spans="1:17">
      <c r="A69" s="12"/>
      <c r="B69" s="13">
        <f>B9</f>
        <v>2014</v>
      </c>
      <c r="C69" s="37">
        <f>$M$58-$D$58</f>
        <v>22.5745973494674</v>
      </c>
      <c r="D69" s="38">
        <f>$M$59-$D$59</f>
        <v>22.508452685692575</v>
      </c>
      <c r="E69" s="38">
        <f>$M$59-$D$59</f>
        <v>22.508452685692575</v>
      </c>
      <c r="F69" s="38">
        <f>$M$59-$D$59</f>
        <v>22.508452685692575</v>
      </c>
      <c r="G69" s="39">
        <f>$M$59-$D$59</f>
        <v>22.508452685692575</v>
      </c>
      <c r="H69" s="42">
        <f>M58-D58</f>
        <v>22.5745973494674</v>
      </c>
      <c r="J69" s="12"/>
      <c r="K69" s="13">
        <f t="shared" ref="K69:K99" si="16">B69</f>
        <v>2014</v>
      </c>
      <c r="L69" s="37">
        <f>$M$58-$D$58</f>
        <v>22.5745973494674</v>
      </c>
      <c r="M69" s="38">
        <f>$M$59-$D$59</f>
        <v>22.508452685692575</v>
      </c>
      <c r="N69" s="38">
        <f>$M$59-$D$59</f>
        <v>22.508452685692575</v>
      </c>
      <c r="O69" s="38">
        <f>$M$59-$D$59</f>
        <v>22.508452685692575</v>
      </c>
      <c r="P69" s="39">
        <f>$M$59-$D$59</f>
        <v>22.508452685692575</v>
      </c>
      <c r="Q69" s="42">
        <f>H69</f>
        <v>22.5745973494674</v>
      </c>
    </row>
    <row r="70" spans="1:17">
      <c r="A70" s="12"/>
      <c r="B70" s="13">
        <f t="shared" ref="B70:B99" si="17">B10</f>
        <v>2015</v>
      </c>
      <c r="C70" s="40">
        <f t="shared" ref="C70:C99" si="18">C69*(1+I10)</f>
        <v>23.59045423019343</v>
      </c>
      <c r="D70" s="41">
        <f t="shared" ref="D70:D99" si="19">D69*(1+I10)</f>
        <v>23.521333056548738</v>
      </c>
      <c r="E70" s="41">
        <f t="shared" ref="E70:E99" si="20">E69*(1+I10)</f>
        <v>23.521333056548738</v>
      </c>
      <c r="F70" s="41">
        <f t="shared" ref="F70:F99" si="21">F69*(1+I10)</f>
        <v>23.521333056548738</v>
      </c>
      <c r="G70" s="42">
        <f t="shared" ref="G70:H99" si="22">G69*(1+I10)</f>
        <v>23.521333056548738</v>
      </c>
      <c r="H70" s="42">
        <f t="shared" si="22"/>
        <v>23.59045423019343</v>
      </c>
      <c r="J70" s="12"/>
      <c r="K70" s="13">
        <f t="shared" si="16"/>
        <v>2015</v>
      </c>
      <c r="L70" s="40">
        <f t="shared" ref="L70:L99" si="23">C70</f>
        <v>23.59045423019343</v>
      </c>
      <c r="M70" s="41">
        <f t="shared" ref="M70:M99" si="24">D70</f>
        <v>23.521333056548738</v>
      </c>
      <c r="N70" s="41">
        <f t="shared" ref="N70:N99" si="25">E70</f>
        <v>23.521333056548738</v>
      </c>
      <c r="O70" s="41">
        <f t="shared" ref="O70:O99" si="26">F70</f>
        <v>23.521333056548738</v>
      </c>
      <c r="P70" s="42">
        <f t="shared" ref="P70:P99" si="27">G70</f>
        <v>23.521333056548738</v>
      </c>
      <c r="Q70" s="42">
        <f>H70</f>
        <v>23.59045423019343</v>
      </c>
    </row>
    <row r="71" spans="1:17">
      <c r="A71" s="12"/>
      <c r="B71" s="13">
        <f t="shared" si="17"/>
        <v>2016</v>
      </c>
      <c r="C71" s="40">
        <f t="shared" si="18"/>
        <v>24.652024670552134</v>
      </c>
      <c r="D71" s="41">
        <f t="shared" si="19"/>
        <v>24.579793044093428</v>
      </c>
      <c r="E71" s="41">
        <f t="shared" si="20"/>
        <v>24.579793044093428</v>
      </c>
      <c r="F71" s="41">
        <f t="shared" si="21"/>
        <v>24.579793044093428</v>
      </c>
      <c r="G71" s="42">
        <f t="shared" si="22"/>
        <v>24.579793044093428</v>
      </c>
      <c r="H71" s="42">
        <f t="shared" si="22"/>
        <v>24.652024670552134</v>
      </c>
      <c r="J71" s="12"/>
      <c r="K71" s="13">
        <f t="shared" si="16"/>
        <v>2016</v>
      </c>
      <c r="L71" s="40">
        <f t="shared" si="23"/>
        <v>24.652024670552134</v>
      </c>
      <c r="M71" s="41">
        <f t="shared" si="24"/>
        <v>24.579793044093428</v>
      </c>
      <c r="N71" s="41">
        <f t="shared" si="25"/>
        <v>24.579793044093428</v>
      </c>
      <c r="O71" s="41">
        <f t="shared" si="26"/>
        <v>24.579793044093428</v>
      </c>
      <c r="P71" s="42">
        <f t="shared" si="27"/>
        <v>24.579793044093428</v>
      </c>
      <c r="Q71" s="42">
        <f t="shared" ref="Q71:Q99" si="28">H71</f>
        <v>24.652024670552134</v>
      </c>
    </row>
    <row r="72" spans="1:17">
      <c r="A72" s="12"/>
      <c r="B72" s="13">
        <f t="shared" si="17"/>
        <v>2017</v>
      </c>
      <c r="C72" s="40">
        <f t="shared" si="18"/>
        <v>25.76136578072698</v>
      </c>
      <c r="D72" s="41">
        <f t="shared" si="19"/>
        <v>25.685883731077631</v>
      </c>
      <c r="E72" s="41">
        <f t="shared" si="20"/>
        <v>25.685883731077631</v>
      </c>
      <c r="F72" s="41">
        <f t="shared" si="21"/>
        <v>25.685883731077631</v>
      </c>
      <c r="G72" s="42">
        <f t="shared" si="22"/>
        <v>25.685883731077631</v>
      </c>
      <c r="H72" s="42">
        <f t="shared" si="22"/>
        <v>25.76136578072698</v>
      </c>
      <c r="J72" s="12"/>
      <c r="K72" s="13">
        <f t="shared" si="16"/>
        <v>2017</v>
      </c>
      <c r="L72" s="40">
        <f t="shared" si="23"/>
        <v>25.76136578072698</v>
      </c>
      <c r="M72" s="41">
        <f t="shared" si="24"/>
        <v>25.685883731077631</v>
      </c>
      <c r="N72" s="41">
        <f t="shared" si="25"/>
        <v>25.685883731077631</v>
      </c>
      <c r="O72" s="41">
        <f t="shared" si="26"/>
        <v>25.685883731077631</v>
      </c>
      <c r="P72" s="42">
        <f t="shared" si="27"/>
        <v>25.685883731077631</v>
      </c>
      <c r="Q72" s="42">
        <f t="shared" si="28"/>
        <v>25.76136578072698</v>
      </c>
    </row>
    <row r="73" spans="1:17">
      <c r="A73" s="12"/>
      <c r="B73" s="13">
        <f t="shared" si="17"/>
        <v>2018</v>
      </c>
      <c r="C73" s="40">
        <f t="shared" si="18"/>
        <v>26.920627240859691</v>
      </c>
      <c r="D73" s="41">
        <f t="shared" si="19"/>
        <v>26.841748498976123</v>
      </c>
      <c r="E73" s="41">
        <f t="shared" si="20"/>
        <v>26.841748498976123</v>
      </c>
      <c r="F73" s="41">
        <f t="shared" si="21"/>
        <v>26.841748498976123</v>
      </c>
      <c r="G73" s="42">
        <f t="shared" si="22"/>
        <v>26.841748498976123</v>
      </c>
      <c r="H73" s="42">
        <f t="shared" si="22"/>
        <v>26.920627240859691</v>
      </c>
      <c r="J73" s="12"/>
      <c r="K73" s="13">
        <f t="shared" si="16"/>
        <v>2018</v>
      </c>
      <c r="L73" s="40">
        <f t="shared" si="23"/>
        <v>26.920627240859691</v>
      </c>
      <c r="M73" s="41">
        <f t="shared" si="24"/>
        <v>26.841748498976123</v>
      </c>
      <c r="N73" s="41">
        <f t="shared" si="25"/>
        <v>26.841748498976123</v>
      </c>
      <c r="O73" s="41">
        <f t="shared" si="26"/>
        <v>26.841748498976123</v>
      </c>
      <c r="P73" s="42">
        <f t="shared" si="27"/>
        <v>26.841748498976123</v>
      </c>
      <c r="Q73" s="42">
        <f t="shared" si="28"/>
        <v>26.920627240859691</v>
      </c>
    </row>
    <row r="74" spans="1:17">
      <c r="A74" s="12"/>
      <c r="B74" s="13">
        <f t="shared" si="17"/>
        <v>2019</v>
      </c>
      <c r="C74" s="40">
        <f t="shared" si="18"/>
        <v>28.132055466698375</v>
      </c>
      <c r="D74" s="41">
        <f t="shared" si="19"/>
        <v>28.049627181430047</v>
      </c>
      <c r="E74" s="41">
        <f t="shared" si="20"/>
        <v>28.049627181430047</v>
      </c>
      <c r="F74" s="41">
        <f t="shared" si="21"/>
        <v>28.049627181430047</v>
      </c>
      <c r="G74" s="42">
        <f t="shared" si="22"/>
        <v>28.049627181430047</v>
      </c>
      <c r="H74" s="42">
        <f t="shared" si="22"/>
        <v>28.132055466698375</v>
      </c>
      <c r="J74" s="12"/>
      <c r="K74" s="13">
        <f t="shared" si="16"/>
        <v>2019</v>
      </c>
      <c r="L74" s="40">
        <f t="shared" si="23"/>
        <v>28.132055466698375</v>
      </c>
      <c r="M74" s="41">
        <f t="shared" si="24"/>
        <v>28.049627181430047</v>
      </c>
      <c r="N74" s="41">
        <f t="shared" si="25"/>
        <v>28.049627181430047</v>
      </c>
      <c r="O74" s="41">
        <f t="shared" si="26"/>
        <v>28.049627181430047</v>
      </c>
      <c r="P74" s="42">
        <f t="shared" si="27"/>
        <v>28.049627181430047</v>
      </c>
      <c r="Q74" s="42">
        <f t="shared" si="28"/>
        <v>28.132055466698375</v>
      </c>
    </row>
    <row r="75" spans="1:17">
      <c r="A75" s="12"/>
      <c r="B75" s="13">
        <f t="shared" si="17"/>
        <v>2020</v>
      </c>
      <c r="C75" s="40">
        <f t="shared" si="18"/>
        <v>29.397997962699801</v>
      </c>
      <c r="D75" s="41">
        <f t="shared" si="19"/>
        <v>29.311860404594398</v>
      </c>
      <c r="E75" s="41">
        <f t="shared" si="20"/>
        <v>29.311860404594398</v>
      </c>
      <c r="F75" s="41">
        <f t="shared" si="21"/>
        <v>29.311860404594398</v>
      </c>
      <c r="G75" s="42">
        <f t="shared" si="22"/>
        <v>29.311860404594398</v>
      </c>
      <c r="H75" s="42">
        <f t="shared" si="22"/>
        <v>29.397997962699801</v>
      </c>
      <c r="J75" s="12"/>
      <c r="K75" s="13">
        <f t="shared" si="16"/>
        <v>2020</v>
      </c>
      <c r="L75" s="40">
        <f t="shared" si="23"/>
        <v>29.397997962699801</v>
      </c>
      <c r="M75" s="41">
        <f t="shared" si="24"/>
        <v>29.311860404594398</v>
      </c>
      <c r="N75" s="41">
        <f t="shared" si="25"/>
        <v>29.311860404594398</v>
      </c>
      <c r="O75" s="41">
        <f t="shared" si="26"/>
        <v>29.311860404594398</v>
      </c>
      <c r="P75" s="42">
        <f t="shared" si="27"/>
        <v>29.311860404594398</v>
      </c>
      <c r="Q75" s="42">
        <f t="shared" si="28"/>
        <v>29.397997962699801</v>
      </c>
    </row>
    <row r="76" spans="1:17">
      <c r="A76" s="12"/>
      <c r="B76" s="13">
        <f t="shared" si="17"/>
        <v>2021</v>
      </c>
      <c r="C76" s="40">
        <f t="shared" si="18"/>
        <v>30.132947911767292</v>
      </c>
      <c r="D76" s="41">
        <f t="shared" si="19"/>
        <v>30.044656914709254</v>
      </c>
      <c r="E76" s="41">
        <f t="shared" si="20"/>
        <v>30.044656914709254</v>
      </c>
      <c r="F76" s="41">
        <f t="shared" si="21"/>
        <v>30.044656914709254</v>
      </c>
      <c r="G76" s="42">
        <f t="shared" si="22"/>
        <v>30.044656914709254</v>
      </c>
      <c r="H76" s="42">
        <f t="shared" si="22"/>
        <v>30.132947911767292</v>
      </c>
      <c r="J76" s="12"/>
      <c r="K76" s="13">
        <f t="shared" si="16"/>
        <v>2021</v>
      </c>
      <c r="L76" s="40">
        <f t="shared" si="23"/>
        <v>30.132947911767292</v>
      </c>
      <c r="M76" s="41">
        <f t="shared" si="24"/>
        <v>30.044656914709254</v>
      </c>
      <c r="N76" s="41">
        <f t="shared" si="25"/>
        <v>30.044656914709254</v>
      </c>
      <c r="O76" s="41">
        <f t="shared" si="26"/>
        <v>30.044656914709254</v>
      </c>
      <c r="P76" s="42">
        <f t="shared" si="27"/>
        <v>30.044656914709254</v>
      </c>
      <c r="Q76" s="42">
        <f t="shared" si="28"/>
        <v>30.132947911767292</v>
      </c>
    </row>
    <row r="77" spans="1:17">
      <c r="A77" s="12"/>
      <c r="B77" s="13">
        <f t="shared" si="17"/>
        <v>2022</v>
      </c>
      <c r="C77" s="40">
        <f t="shared" si="18"/>
        <v>30.886271609561472</v>
      </c>
      <c r="D77" s="41">
        <f t="shared" si="19"/>
        <v>30.795773337576982</v>
      </c>
      <c r="E77" s="41">
        <f t="shared" si="20"/>
        <v>30.795773337576982</v>
      </c>
      <c r="F77" s="41">
        <f t="shared" si="21"/>
        <v>30.795773337576982</v>
      </c>
      <c r="G77" s="42">
        <f t="shared" si="22"/>
        <v>30.795773337576982</v>
      </c>
      <c r="H77" s="42">
        <f t="shared" si="22"/>
        <v>30.886271609561472</v>
      </c>
      <c r="J77" s="12"/>
      <c r="K77" s="13">
        <f t="shared" si="16"/>
        <v>2022</v>
      </c>
      <c r="L77" s="40">
        <f t="shared" si="23"/>
        <v>30.886271609561472</v>
      </c>
      <c r="M77" s="41">
        <f t="shared" si="24"/>
        <v>30.795773337576982</v>
      </c>
      <c r="N77" s="41">
        <f t="shared" si="25"/>
        <v>30.795773337576982</v>
      </c>
      <c r="O77" s="41">
        <f t="shared" si="26"/>
        <v>30.795773337576982</v>
      </c>
      <c r="P77" s="42">
        <f t="shared" si="27"/>
        <v>30.795773337576982</v>
      </c>
      <c r="Q77" s="42">
        <f t="shared" si="28"/>
        <v>30.886271609561472</v>
      </c>
    </row>
    <row r="78" spans="1:17">
      <c r="A78" s="12"/>
      <c r="B78" s="13">
        <f t="shared" si="17"/>
        <v>2023</v>
      </c>
      <c r="C78" s="40">
        <f t="shared" si="18"/>
        <v>31.658428399800506</v>
      </c>
      <c r="D78" s="41">
        <f t="shared" si="19"/>
        <v>31.565667671016403</v>
      </c>
      <c r="E78" s="41">
        <f t="shared" si="20"/>
        <v>31.565667671016403</v>
      </c>
      <c r="F78" s="41">
        <f t="shared" si="21"/>
        <v>31.565667671016403</v>
      </c>
      <c r="G78" s="42">
        <f t="shared" si="22"/>
        <v>31.565667671016403</v>
      </c>
      <c r="H78" s="42">
        <f t="shared" si="22"/>
        <v>31.658428399800506</v>
      </c>
      <c r="J78" s="12"/>
      <c r="K78" s="13">
        <f t="shared" si="16"/>
        <v>2023</v>
      </c>
      <c r="L78" s="40">
        <f t="shared" si="23"/>
        <v>31.658428399800506</v>
      </c>
      <c r="M78" s="41">
        <f t="shared" si="24"/>
        <v>31.565667671016403</v>
      </c>
      <c r="N78" s="41">
        <f t="shared" si="25"/>
        <v>31.565667671016403</v>
      </c>
      <c r="O78" s="41">
        <f t="shared" si="26"/>
        <v>31.565667671016403</v>
      </c>
      <c r="P78" s="42">
        <f t="shared" si="27"/>
        <v>31.565667671016403</v>
      </c>
      <c r="Q78" s="42">
        <f t="shared" si="28"/>
        <v>31.658428399800506</v>
      </c>
    </row>
    <row r="79" spans="1:17">
      <c r="A79" s="12"/>
      <c r="B79" s="13">
        <f t="shared" si="17"/>
        <v>2024</v>
      </c>
      <c r="C79" s="40">
        <f t="shared" si="18"/>
        <v>32.449889109795514</v>
      </c>
      <c r="D79" s="41">
        <f t="shared" si="19"/>
        <v>32.354809362791812</v>
      </c>
      <c r="E79" s="41">
        <f t="shared" si="20"/>
        <v>32.354809362791812</v>
      </c>
      <c r="F79" s="41">
        <f t="shared" si="21"/>
        <v>32.354809362791812</v>
      </c>
      <c r="G79" s="42">
        <f t="shared" si="22"/>
        <v>32.354809362791812</v>
      </c>
      <c r="H79" s="42">
        <f t="shared" si="22"/>
        <v>32.449889109795514</v>
      </c>
      <c r="J79" s="12"/>
      <c r="K79" s="13">
        <f t="shared" si="16"/>
        <v>2024</v>
      </c>
      <c r="L79" s="40">
        <f t="shared" si="23"/>
        <v>32.449889109795514</v>
      </c>
      <c r="M79" s="41">
        <f t="shared" si="24"/>
        <v>32.354809362791812</v>
      </c>
      <c r="N79" s="41">
        <f t="shared" si="25"/>
        <v>32.354809362791812</v>
      </c>
      <c r="O79" s="41">
        <f t="shared" si="26"/>
        <v>32.354809362791812</v>
      </c>
      <c r="P79" s="42">
        <f t="shared" si="27"/>
        <v>32.354809362791812</v>
      </c>
      <c r="Q79" s="42">
        <f t="shared" si="28"/>
        <v>32.449889109795514</v>
      </c>
    </row>
    <row r="80" spans="1:17">
      <c r="A80" s="12"/>
      <c r="B80" s="13">
        <f t="shared" si="17"/>
        <v>2025</v>
      </c>
      <c r="C80" s="40">
        <f t="shared" si="18"/>
        <v>33.2611363375404</v>
      </c>
      <c r="D80" s="41">
        <f t="shared" si="19"/>
        <v>33.163679596861606</v>
      </c>
      <c r="E80" s="41">
        <f t="shared" si="20"/>
        <v>33.163679596861606</v>
      </c>
      <c r="F80" s="41">
        <f t="shared" si="21"/>
        <v>33.163679596861606</v>
      </c>
      <c r="G80" s="42">
        <f t="shared" si="22"/>
        <v>33.163679596861606</v>
      </c>
      <c r="H80" s="42">
        <f t="shared" si="22"/>
        <v>33.2611363375404</v>
      </c>
      <c r="J80" s="12"/>
      <c r="K80" s="13">
        <f t="shared" si="16"/>
        <v>2025</v>
      </c>
      <c r="L80" s="40">
        <f t="shared" si="23"/>
        <v>33.2611363375404</v>
      </c>
      <c r="M80" s="41">
        <f t="shared" si="24"/>
        <v>33.163679596861606</v>
      </c>
      <c r="N80" s="41">
        <f t="shared" si="25"/>
        <v>33.163679596861606</v>
      </c>
      <c r="O80" s="41">
        <f t="shared" si="26"/>
        <v>33.163679596861606</v>
      </c>
      <c r="P80" s="42">
        <f t="shared" si="27"/>
        <v>33.163679596861606</v>
      </c>
      <c r="Q80" s="42">
        <f t="shared" si="28"/>
        <v>33.2611363375404</v>
      </c>
    </row>
    <row r="81" spans="1:17">
      <c r="A81" s="12"/>
      <c r="B81" s="13">
        <f t="shared" si="17"/>
        <v>2026</v>
      </c>
      <c r="C81" s="40">
        <f t="shared" si="18"/>
        <v>34.092664745978908</v>
      </c>
      <c r="D81" s="41">
        <f t="shared" si="19"/>
        <v>33.992771586783142</v>
      </c>
      <c r="E81" s="41">
        <f t="shared" si="20"/>
        <v>33.992771586783142</v>
      </c>
      <c r="F81" s="41">
        <f t="shared" si="21"/>
        <v>33.992771586783142</v>
      </c>
      <c r="G81" s="42">
        <f t="shared" si="22"/>
        <v>33.992771586783142</v>
      </c>
      <c r="H81" s="42">
        <f t="shared" si="22"/>
        <v>34.092664745978908</v>
      </c>
      <c r="J81" s="12"/>
      <c r="K81" s="13">
        <f t="shared" si="16"/>
        <v>2026</v>
      </c>
      <c r="L81" s="40">
        <f t="shared" si="23"/>
        <v>34.092664745978908</v>
      </c>
      <c r="M81" s="41">
        <f t="shared" si="24"/>
        <v>33.992771586783142</v>
      </c>
      <c r="N81" s="41">
        <f t="shared" si="25"/>
        <v>33.992771586783142</v>
      </c>
      <c r="O81" s="41">
        <f t="shared" si="26"/>
        <v>33.992771586783142</v>
      </c>
      <c r="P81" s="42">
        <f t="shared" si="27"/>
        <v>33.992771586783142</v>
      </c>
      <c r="Q81" s="42">
        <f t="shared" si="28"/>
        <v>34.092664745978908</v>
      </c>
    </row>
    <row r="82" spans="1:17">
      <c r="A82" s="12"/>
      <c r="B82" s="13">
        <f t="shared" si="17"/>
        <v>2027</v>
      </c>
      <c r="C82" s="40">
        <f t="shared" si="18"/>
        <v>34.944981364628376</v>
      </c>
      <c r="D82" s="41">
        <f t="shared" si="19"/>
        <v>34.842590876452718</v>
      </c>
      <c r="E82" s="41">
        <f t="shared" si="20"/>
        <v>34.842590876452718</v>
      </c>
      <c r="F82" s="41">
        <f t="shared" si="21"/>
        <v>34.842590876452718</v>
      </c>
      <c r="G82" s="42">
        <f t="shared" si="22"/>
        <v>34.842590876452718</v>
      </c>
      <c r="H82" s="42">
        <f t="shared" si="22"/>
        <v>34.944981364628376</v>
      </c>
      <c r="J82" s="12"/>
      <c r="K82" s="13">
        <f t="shared" si="16"/>
        <v>2027</v>
      </c>
      <c r="L82" s="40">
        <f t="shared" si="23"/>
        <v>34.944981364628376</v>
      </c>
      <c r="M82" s="41">
        <f t="shared" si="24"/>
        <v>34.842590876452718</v>
      </c>
      <c r="N82" s="41">
        <f t="shared" si="25"/>
        <v>34.842590876452718</v>
      </c>
      <c r="O82" s="41">
        <f t="shared" si="26"/>
        <v>34.842590876452718</v>
      </c>
      <c r="P82" s="42">
        <f t="shared" si="27"/>
        <v>34.842590876452718</v>
      </c>
      <c r="Q82" s="42">
        <f t="shared" si="28"/>
        <v>34.944981364628376</v>
      </c>
    </row>
    <row r="83" spans="1:17">
      <c r="A83" s="12"/>
      <c r="B83" s="13">
        <f t="shared" si="17"/>
        <v>2028</v>
      </c>
      <c r="C83" s="40">
        <f t="shared" si="18"/>
        <v>35.818605898744082</v>
      </c>
      <c r="D83" s="41">
        <f t="shared" si="19"/>
        <v>35.713655648364032</v>
      </c>
      <c r="E83" s="41">
        <f t="shared" si="20"/>
        <v>35.713655648364032</v>
      </c>
      <c r="F83" s="41">
        <f t="shared" si="21"/>
        <v>35.713655648364032</v>
      </c>
      <c r="G83" s="42">
        <f t="shared" si="22"/>
        <v>35.713655648364032</v>
      </c>
      <c r="H83" s="42">
        <f t="shared" si="22"/>
        <v>35.818605898744082</v>
      </c>
      <c r="J83" s="12"/>
      <c r="K83" s="13">
        <f t="shared" si="16"/>
        <v>2028</v>
      </c>
      <c r="L83" s="40">
        <f t="shared" si="23"/>
        <v>35.818605898744082</v>
      </c>
      <c r="M83" s="41">
        <f t="shared" si="24"/>
        <v>35.713655648364032</v>
      </c>
      <c r="N83" s="41">
        <f t="shared" si="25"/>
        <v>35.713655648364032</v>
      </c>
      <c r="O83" s="41">
        <f t="shared" si="26"/>
        <v>35.713655648364032</v>
      </c>
      <c r="P83" s="42">
        <f t="shared" si="27"/>
        <v>35.713655648364032</v>
      </c>
      <c r="Q83" s="42">
        <f t="shared" si="28"/>
        <v>35.818605898744082</v>
      </c>
    </row>
    <row r="84" spans="1:17">
      <c r="A84" s="12"/>
      <c r="B84" s="13">
        <f t="shared" si="17"/>
        <v>2029</v>
      </c>
      <c r="C84" s="40">
        <f t="shared" si="18"/>
        <v>36.71407104621268</v>
      </c>
      <c r="D84" s="41">
        <f t="shared" si="19"/>
        <v>36.606497039573128</v>
      </c>
      <c r="E84" s="41">
        <f t="shared" si="20"/>
        <v>36.606497039573128</v>
      </c>
      <c r="F84" s="41">
        <f t="shared" si="21"/>
        <v>36.606497039573128</v>
      </c>
      <c r="G84" s="42">
        <f t="shared" si="22"/>
        <v>36.606497039573128</v>
      </c>
      <c r="H84" s="42">
        <f t="shared" si="22"/>
        <v>36.71407104621268</v>
      </c>
      <c r="J84" s="12"/>
      <c r="K84" s="13">
        <f t="shared" si="16"/>
        <v>2029</v>
      </c>
      <c r="L84" s="40">
        <f t="shared" si="23"/>
        <v>36.71407104621268</v>
      </c>
      <c r="M84" s="41">
        <f t="shared" si="24"/>
        <v>36.606497039573128</v>
      </c>
      <c r="N84" s="41">
        <f t="shared" si="25"/>
        <v>36.606497039573128</v>
      </c>
      <c r="O84" s="41">
        <f t="shared" si="26"/>
        <v>36.606497039573128</v>
      </c>
      <c r="P84" s="42">
        <f t="shared" si="27"/>
        <v>36.606497039573128</v>
      </c>
      <c r="Q84" s="42">
        <f t="shared" si="28"/>
        <v>36.71407104621268</v>
      </c>
    </row>
    <row r="85" spans="1:17">
      <c r="A85" s="12"/>
      <c r="B85" s="13">
        <f t="shared" si="17"/>
        <v>2030</v>
      </c>
      <c r="C85" s="40">
        <f t="shared" si="18"/>
        <v>37.631922822367997</v>
      </c>
      <c r="D85" s="41">
        <f t="shared" si="19"/>
        <v>37.52165946556245</v>
      </c>
      <c r="E85" s="41">
        <f t="shared" si="20"/>
        <v>37.52165946556245</v>
      </c>
      <c r="F85" s="41">
        <f t="shared" si="21"/>
        <v>37.52165946556245</v>
      </c>
      <c r="G85" s="42">
        <f t="shared" si="22"/>
        <v>37.52165946556245</v>
      </c>
      <c r="H85" s="42">
        <f t="shared" si="22"/>
        <v>37.631922822367997</v>
      </c>
      <c r="J85" s="12"/>
      <c r="K85" s="13">
        <f t="shared" si="16"/>
        <v>2030</v>
      </c>
      <c r="L85" s="40">
        <f t="shared" si="23"/>
        <v>37.631922822367997</v>
      </c>
      <c r="M85" s="41">
        <f t="shared" si="24"/>
        <v>37.52165946556245</v>
      </c>
      <c r="N85" s="41">
        <f t="shared" si="25"/>
        <v>37.52165946556245</v>
      </c>
      <c r="O85" s="41">
        <f t="shared" si="26"/>
        <v>37.52165946556245</v>
      </c>
      <c r="P85" s="42">
        <f t="shared" si="27"/>
        <v>37.52165946556245</v>
      </c>
      <c r="Q85" s="42">
        <f t="shared" si="28"/>
        <v>37.631922822367997</v>
      </c>
    </row>
    <row r="86" spans="1:17">
      <c r="A86" s="12"/>
      <c r="B86" s="13">
        <f t="shared" si="17"/>
        <v>2031</v>
      </c>
      <c r="C86" s="40">
        <f t="shared" si="18"/>
        <v>38.572720892927194</v>
      </c>
      <c r="D86" s="41">
        <f t="shared" si="19"/>
        <v>38.459700952201509</v>
      </c>
      <c r="E86" s="41">
        <f t="shared" si="20"/>
        <v>38.459700952201509</v>
      </c>
      <c r="F86" s="41">
        <f t="shared" si="21"/>
        <v>38.459700952201509</v>
      </c>
      <c r="G86" s="42">
        <f t="shared" si="22"/>
        <v>38.459700952201509</v>
      </c>
      <c r="H86" s="42">
        <f t="shared" si="22"/>
        <v>38.572720892927194</v>
      </c>
      <c r="J86" s="12"/>
      <c r="K86" s="13">
        <f t="shared" si="16"/>
        <v>2031</v>
      </c>
      <c r="L86" s="40">
        <f t="shared" si="23"/>
        <v>38.572720892927194</v>
      </c>
      <c r="M86" s="41">
        <f t="shared" si="24"/>
        <v>38.459700952201509</v>
      </c>
      <c r="N86" s="41">
        <f t="shared" si="25"/>
        <v>38.459700952201509</v>
      </c>
      <c r="O86" s="41">
        <f t="shared" si="26"/>
        <v>38.459700952201509</v>
      </c>
      <c r="P86" s="42">
        <f t="shared" si="27"/>
        <v>38.459700952201509</v>
      </c>
      <c r="Q86" s="42">
        <f t="shared" si="28"/>
        <v>38.572720892927194</v>
      </c>
    </row>
    <row r="87" spans="1:17">
      <c r="A87" s="12"/>
      <c r="B87" s="13">
        <f t="shared" si="17"/>
        <v>2032</v>
      </c>
      <c r="C87" s="40">
        <f t="shared" si="18"/>
        <v>39.537038915250371</v>
      </c>
      <c r="D87" s="41">
        <f t="shared" si="19"/>
        <v>39.421193476006543</v>
      </c>
      <c r="E87" s="41">
        <f t="shared" si="20"/>
        <v>39.421193476006543</v>
      </c>
      <c r="F87" s="41">
        <f t="shared" si="21"/>
        <v>39.421193476006543</v>
      </c>
      <c r="G87" s="42">
        <f t="shared" si="22"/>
        <v>39.421193476006543</v>
      </c>
      <c r="H87" s="42">
        <f t="shared" si="22"/>
        <v>39.537038915250371</v>
      </c>
      <c r="J87" s="12"/>
      <c r="K87" s="13">
        <f t="shared" si="16"/>
        <v>2032</v>
      </c>
      <c r="L87" s="40">
        <f t="shared" si="23"/>
        <v>39.537038915250371</v>
      </c>
      <c r="M87" s="41">
        <f t="shared" si="24"/>
        <v>39.421193476006543</v>
      </c>
      <c r="N87" s="41">
        <f t="shared" si="25"/>
        <v>39.421193476006543</v>
      </c>
      <c r="O87" s="41">
        <f t="shared" si="26"/>
        <v>39.421193476006543</v>
      </c>
      <c r="P87" s="42">
        <f t="shared" si="27"/>
        <v>39.421193476006543</v>
      </c>
      <c r="Q87" s="42">
        <f t="shared" si="28"/>
        <v>39.537038915250371</v>
      </c>
    </row>
    <row r="88" spans="1:17">
      <c r="A88" s="12"/>
      <c r="B88" s="13">
        <f t="shared" si="17"/>
        <v>2033</v>
      </c>
      <c r="C88" s="40">
        <f t="shared" si="18"/>
        <v>40.525464888131623</v>
      </c>
      <c r="D88" s="41">
        <f t="shared" si="19"/>
        <v>40.406723312906706</v>
      </c>
      <c r="E88" s="41">
        <f t="shared" si="20"/>
        <v>40.406723312906706</v>
      </c>
      <c r="F88" s="41">
        <f t="shared" si="21"/>
        <v>40.406723312906706</v>
      </c>
      <c r="G88" s="42">
        <f t="shared" si="22"/>
        <v>40.406723312906706</v>
      </c>
      <c r="H88" s="42">
        <f t="shared" si="22"/>
        <v>40.525464888131623</v>
      </c>
      <c r="J88" s="12"/>
      <c r="K88" s="13">
        <f t="shared" si="16"/>
        <v>2033</v>
      </c>
      <c r="L88" s="40">
        <f t="shared" si="23"/>
        <v>40.525464888131623</v>
      </c>
      <c r="M88" s="41">
        <f t="shared" si="24"/>
        <v>40.406723312906706</v>
      </c>
      <c r="N88" s="41">
        <f t="shared" si="25"/>
        <v>40.406723312906706</v>
      </c>
      <c r="O88" s="41">
        <f t="shared" si="26"/>
        <v>40.406723312906706</v>
      </c>
      <c r="P88" s="42">
        <f t="shared" si="27"/>
        <v>40.406723312906706</v>
      </c>
      <c r="Q88" s="42">
        <f t="shared" si="28"/>
        <v>40.525464888131623</v>
      </c>
    </row>
    <row r="89" spans="1:17">
      <c r="A89" s="12"/>
      <c r="B89" s="13">
        <f t="shared" si="17"/>
        <v>2034</v>
      </c>
      <c r="C89" s="40">
        <f t="shared" si="18"/>
        <v>41.538601510334907</v>
      </c>
      <c r="D89" s="41">
        <f t="shared" si="19"/>
        <v>41.416891395729373</v>
      </c>
      <c r="E89" s="41">
        <f t="shared" si="20"/>
        <v>41.416891395729373</v>
      </c>
      <c r="F89" s="41">
        <f t="shared" si="21"/>
        <v>41.416891395729373</v>
      </c>
      <c r="G89" s="42">
        <f t="shared" si="22"/>
        <v>41.416891395729373</v>
      </c>
      <c r="H89" s="42">
        <f t="shared" si="22"/>
        <v>41.538601510334907</v>
      </c>
      <c r="J89" s="12"/>
      <c r="K89" s="13">
        <f t="shared" si="16"/>
        <v>2034</v>
      </c>
      <c r="L89" s="40">
        <f t="shared" si="23"/>
        <v>41.538601510334907</v>
      </c>
      <c r="M89" s="41">
        <f t="shared" si="24"/>
        <v>41.416891395729373</v>
      </c>
      <c r="N89" s="41">
        <f t="shared" si="25"/>
        <v>41.416891395729373</v>
      </c>
      <c r="O89" s="41">
        <f t="shared" si="26"/>
        <v>41.416891395729373</v>
      </c>
      <c r="P89" s="42">
        <f t="shared" si="27"/>
        <v>41.416891395729373</v>
      </c>
      <c r="Q89" s="42">
        <f t="shared" si="28"/>
        <v>41.538601510334907</v>
      </c>
    </row>
    <row r="90" spans="1:17">
      <c r="A90" s="12"/>
      <c r="B90" s="13">
        <f t="shared" si="17"/>
        <v>2035</v>
      </c>
      <c r="C90" s="40">
        <f t="shared" si="18"/>
        <v>42.577066548093278</v>
      </c>
      <c r="D90" s="41">
        <f t="shared" si="19"/>
        <v>42.452313680622602</v>
      </c>
      <c r="E90" s="41">
        <f t="shared" si="20"/>
        <v>42.452313680622602</v>
      </c>
      <c r="F90" s="41">
        <f t="shared" si="21"/>
        <v>42.452313680622602</v>
      </c>
      <c r="G90" s="42">
        <f t="shared" si="22"/>
        <v>42.452313680622602</v>
      </c>
      <c r="H90" s="42">
        <f t="shared" si="22"/>
        <v>42.577066548093278</v>
      </c>
      <c r="J90" s="12"/>
      <c r="K90" s="13">
        <f t="shared" si="16"/>
        <v>2035</v>
      </c>
      <c r="L90" s="40">
        <f t="shared" si="23"/>
        <v>42.577066548093278</v>
      </c>
      <c r="M90" s="41">
        <f t="shared" si="24"/>
        <v>42.452313680622602</v>
      </c>
      <c r="N90" s="41">
        <f t="shared" si="25"/>
        <v>42.452313680622602</v>
      </c>
      <c r="O90" s="41">
        <f t="shared" si="26"/>
        <v>42.452313680622602</v>
      </c>
      <c r="P90" s="42">
        <f t="shared" si="27"/>
        <v>42.452313680622602</v>
      </c>
      <c r="Q90" s="42">
        <f t="shared" si="28"/>
        <v>42.577066548093278</v>
      </c>
    </row>
    <row r="91" spans="1:17">
      <c r="A91" s="12"/>
      <c r="B91" s="13">
        <f t="shared" si="17"/>
        <v>2036</v>
      </c>
      <c r="C91" s="40">
        <f t="shared" si="18"/>
        <v>43.641493211795606</v>
      </c>
      <c r="D91" s="41">
        <f t="shared" si="19"/>
        <v>43.513621522638161</v>
      </c>
      <c r="E91" s="41">
        <f t="shared" si="20"/>
        <v>43.513621522638161</v>
      </c>
      <c r="F91" s="41">
        <f t="shared" si="21"/>
        <v>43.513621522638161</v>
      </c>
      <c r="G91" s="42">
        <f t="shared" si="22"/>
        <v>43.513621522638161</v>
      </c>
      <c r="H91" s="42">
        <f t="shared" si="22"/>
        <v>43.641493211795606</v>
      </c>
      <c r="J91" s="12"/>
      <c r="K91" s="13">
        <f t="shared" si="16"/>
        <v>2036</v>
      </c>
      <c r="L91" s="40">
        <f t="shared" si="23"/>
        <v>43.641493211795606</v>
      </c>
      <c r="M91" s="41">
        <f t="shared" si="24"/>
        <v>43.513621522638161</v>
      </c>
      <c r="N91" s="41">
        <f t="shared" si="25"/>
        <v>43.513621522638161</v>
      </c>
      <c r="O91" s="41">
        <f t="shared" si="26"/>
        <v>43.513621522638161</v>
      </c>
      <c r="P91" s="42">
        <f t="shared" si="27"/>
        <v>43.513621522638161</v>
      </c>
      <c r="Q91" s="42">
        <f t="shared" si="28"/>
        <v>43.641493211795606</v>
      </c>
    </row>
    <row r="92" spans="1:17">
      <c r="A92" s="12"/>
      <c r="B92" s="13">
        <f t="shared" si="17"/>
        <v>2037</v>
      </c>
      <c r="C92" s="40">
        <f t="shared" si="18"/>
        <v>44.732530542090494</v>
      </c>
      <c r="D92" s="41">
        <f t="shared" si="19"/>
        <v>44.601462060704108</v>
      </c>
      <c r="E92" s="41">
        <f t="shared" si="20"/>
        <v>44.601462060704108</v>
      </c>
      <c r="F92" s="41">
        <f t="shared" si="21"/>
        <v>44.601462060704108</v>
      </c>
      <c r="G92" s="42">
        <f t="shared" si="22"/>
        <v>44.601462060704108</v>
      </c>
      <c r="H92" s="42">
        <f t="shared" si="22"/>
        <v>44.732530542090494</v>
      </c>
      <c r="J92" s="12"/>
      <c r="K92" s="13">
        <f t="shared" si="16"/>
        <v>2037</v>
      </c>
      <c r="L92" s="40">
        <f t="shared" si="23"/>
        <v>44.732530542090494</v>
      </c>
      <c r="M92" s="41">
        <f t="shared" si="24"/>
        <v>44.601462060704108</v>
      </c>
      <c r="N92" s="41">
        <f t="shared" si="25"/>
        <v>44.601462060704108</v>
      </c>
      <c r="O92" s="41">
        <f t="shared" si="26"/>
        <v>44.601462060704108</v>
      </c>
      <c r="P92" s="42">
        <f t="shared" si="27"/>
        <v>44.601462060704108</v>
      </c>
      <c r="Q92" s="42">
        <f t="shared" si="28"/>
        <v>44.732530542090494</v>
      </c>
    </row>
    <row r="93" spans="1:17">
      <c r="A93" s="12"/>
      <c r="B93" s="13">
        <f t="shared" si="17"/>
        <v>2038</v>
      </c>
      <c r="C93" s="40">
        <f t="shared" si="18"/>
        <v>45.850843805642754</v>
      </c>
      <c r="D93" s="41">
        <f t="shared" si="19"/>
        <v>45.716498612221706</v>
      </c>
      <c r="E93" s="41">
        <f t="shared" si="20"/>
        <v>45.716498612221706</v>
      </c>
      <c r="F93" s="41">
        <f t="shared" si="21"/>
        <v>45.716498612221706</v>
      </c>
      <c r="G93" s="42">
        <f t="shared" si="22"/>
        <v>45.716498612221706</v>
      </c>
      <c r="H93" s="42">
        <f t="shared" si="22"/>
        <v>45.850843805642754</v>
      </c>
      <c r="J93" s="12"/>
      <c r="K93" s="13">
        <f t="shared" si="16"/>
        <v>2038</v>
      </c>
      <c r="L93" s="40">
        <f t="shared" si="23"/>
        <v>45.850843805642754</v>
      </c>
      <c r="M93" s="41">
        <f t="shared" si="24"/>
        <v>45.716498612221706</v>
      </c>
      <c r="N93" s="41">
        <f t="shared" si="25"/>
        <v>45.716498612221706</v>
      </c>
      <c r="O93" s="41">
        <f t="shared" si="26"/>
        <v>45.716498612221706</v>
      </c>
      <c r="P93" s="42">
        <f t="shared" si="27"/>
        <v>45.716498612221706</v>
      </c>
      <c r="Q93" s="42">
        <f t="shared" si="28"/>
        <v>45.850843805642754</v>
      </c>
    </row>
    <row r="94" spans="1:17">
      <c r="A94" s="12"/>
      <c r="B94" s="13">
        <f t="shared" si="17"/>
        <v>2039</v>
      </c>
      <c r="C94" s="40">
        <f t="shared" si="18"/>
        <v>46.997114900783821</v>
      </c>
      <c r="D94" s="41">
        <f t="shared" si="19"/>
        <v>46.859411077527241</v>
      </c>
      <c r="E94" s="41">
        <f t="shared" si="20"/>
        <v>46.859411077527241</v>
      </c>
      <c r="F94" s="41">
        <f t="shared" si="21"/>
        <v>46.859411077527241</v>
      </c>
      <c r="G94" s="42">
        <f t="shared" si="22"/>
        <v>46.859411077527241</v>
      </c>
      <c r="H94" s="42">
        <f t="shared" si="22"/>
        <v>46.997114900783821</v>
      </c>
      <c r="J94" s="12"/>
      <c r="K94" s="13">
        <f t="shared" si="16"/>
        <v>2039</v>
      </c>
      <c r="L94" s="40">
        <f t="shared" si="23"/>
        <v>46.997114900783821</v>
      </c>
      <c r="M94" s="41">
        <f t="shared" si="24"/>
        <v>46.859411077527241</v>
      </c>
      <c r="N94" s="41">
        <f t="shared" si="25"/>
        <v>46.859411077527241</v>
      </c>
      <c r="O94" s="41">
        <f t="shared" si="26"/>
        <v>46.859411077527241</v>
      </c>
      <c r="P94" s="42">
        <f t="shared" si="27"/>
        <v>46.859411077527241</v>
      </c>
      <c r="Q94" s="42">
        <f t="shared" si="28"/>
        <v>46.997114900783821</v>
      </c>
    </row>
    <row r="95" spans="1:17">
      <c r="A95" s="12"/>
      <c r="B95" s="13">
        <f t="shared" si="17"/>
        <v>2040</v>
      </c>
      <c r="C95" s="40">
        <f t="shared" si="18"/>
        <v>48.17204277330341</v>
      </c>
      <c r="D95" s="41">
        <f t="shared" si="19"/>
        <v>48.030896354465419</v>
      </c>
      <c r="E95" s="41">
        <f t="shared" si="20"/>
        <v>48.030896354465419</v>
      </c>
      <c r="F95" s="41">
        <f t="shared" si="21"/>
        <v>48.030896354465419</v>
      </c>
      <c r="G95" s="42">
        <f t="shared" si="22"/>
        <v>48.030896354465419</v>
      </c>
      <c r="H95" s="42">
        <f t="shared" si="22"/>
        <v>48.17204277330341</v>
      </c>
      <c r="J95" s="12"/>
      <c r="K95" s="13">
        <f t="shared" si="16"/>
        <v>2040</v>
      </c>
      <c r="L95" s="40">
        <f t="shared" si="23"/>
        <v>48.17204277330341</v>
      </c>
      <c r="M95" s="41">
        <f t="shared" si="24"/>
        <v>48.030896354465419</v>
      </c>
      <c r="N95" s="41">
        <f t="shared" si="25"/>
        <v>48.030896354465419</v>
      </c>
      <c r="O95" s="41">
        <f t="shared" si="26"/>
        <v>48.030896354465419</v>
      </c>
      <c r="P95" s="42">
        <f t="shared" si="27"/>
        <v>48.030896354465419</v>
      </c>
      <c r="Q95" s="42">
        <f t="shared" si="28"/>
        <v>48.17204277330341</v>
      </c>
    </row>
    <row r="96" spans="1:17">
      <c r="A96" s="12"/>
      <c r="B96" s="13">
        <f t="shared" si="17"/>
        <v>2041</v>
      </c>
      <c r="C96" s="40">
        <f t="shared" si="18"/>
        <v>49.37634384263599</v>
      </c>
      <c r="D96" s="41">
        <f t="shared" si="19"/>
        <v>49.23166876332705</v>
      </c>
      <c r="E96" s="41">
        <f t="shared" si="20"/>
        <v>49.23166876332705</v>
      </c>
      <c r="F96" s="41">
        <f t="shared" si="21"/>
        <v>49.23166876332705</v>
      </c>
      <c r="G96" s="42">
        <f t="shared" si="22"/>
        <v>49.23166876332705</v>
      </c>
      <c r="H96" s="42">
        <f t="shared" si="22"/>
        <v>49.37634384263599</v>
      </c>
      <c r="J96" s="12"/>
      <c r="K96" s="13">
        <f t="shared" si="16"/>
        <v>2041</v>
      </c>
      <c r="L96" s="40">
        <f t="shared" si="23"/>
        <v>49.37634384263599</v>
      </c>
      <c r="M96" s="41">
        <f t="shared" si="24"/>
        <v>49.23166876332705</v>
      </c>
      <c r="N96" s="41">
        <f t="shared" si="25"/>
        <v>49.23166876332705</v>
      </c>
      <c r="O96" s="41">
        <f t="shared" si="26"/>
        <v>49.23166876332705</v>
      </c>
      <c r="P96" s="42">
        <f t="shared" si="27"/>
        <v>49.23166876332705</v>
      </c>
      <c r="Q96" s="42">
        <f t="shared" si="28"/>
        <v>49.37634384263599</v>
      </c>
    </row>
    <row r="97" spans="1:17">
      <c r="A97" s="12"/>
      <c r="B97" s="13">
        <f t="shared" si="17"/>
        <v>2042</v>
      </c>
      <c r="C97" s="40">
        <f t="shared" si="18"/>
        <v>50.610752438701887</v>
      </c>
      <c r="D97" s="41">
        <f t="shared" si="19"/>
        <v>50.462460482410222</v>
      </c>
      <c r="E97" s="41">
        <f t="shared" si="20"/>
        <v>50.462460482410222</v>
      </c>
      <c r="F97" s="41">
        <f t="shared" si="21"/>
        <v>50.462460482410222</v>
      </c>
      <c r="G97" s="42">
        <f t="shared" si="22"/>
        <v>50.462460482410222</v>
      </c>
      <c r="H97" s="42">
        <f t="shared" si="22"/>
        <v>50.610752438701887</v>
      </c>
      <c r="J97" s="12"/>
      <c r="K97" s="13">
        <f t="shared" si="16"/>
        <v>2042</v>
      </c>
      <c r="L97" s="40">
        <f t="shared" si="23"/>
        <v>50.610752438701887</v>
      </c>
      <c r="M97" s="41">
        <f t="shared" si="24"/>
        <v>50.462460482410222</v>
      </c>
      <c r="N97" s="41">
        <f t="shared" si="25"/>
        <v>50.462460482410222</v>
      </c>
      <c r="O97" s="41">
        <f t="shared" si="26"/>
        <v>50.462460482410222</v>
      </c>
      <c r="P97" s="42">
        <f t="shared" si="27"/>
        <v>50.462460482410222</v>
      </c>
      <c r="Q97" s="42">
        <f t="shared" si="28"/>
        <v>50.610752438701887</v>
      </c>
    </row>
    <row r="98" spans="1:17">
      <c r="A98" s="12"/>
      <c r="B98" s="13">
        <f t="shared" si="17"/>
        <v>2043</v>
      </c>
      <c r="C98" s="40">
        <f t="shared" si="18"/>
        <v>51.876021249669428</v>
      </c>
      <c r="D98" s="41">
        <f t="shared" si="19"/>
        <v>51.724021994470476</v>
      </c>
      <c r="E98" s="41">
        <f t="shared" si="20"/>
        <v>51.724021994470476</v>
      </c>
      <c r="F98" s="41">
        <f t="shared" si="21"/>
        <v>51.724021994470476</v>
      </c>
      <c r="G98" s="42">
        <f t="shared" si="22"/>
        <v>51.724021994470476</v>
      </c>
      <c r="H98" s="42">
        <f t="shared" si="22"/>
        <v>51.876021249669428</v>
      </c>
      <c r="J98" s="12"/>
      <c r="K98" s="13">
        <f t="shared" si="16"/>
        <v>2043</v>
      </c>
      <c r="L98" s="40">
        <f t="shared" si="23"/>
        <v>51.876021249669428</v>
      </c>
      <c r="M98" s="41">
        <f t="shared" si="24"/>
        <v>51.724021994470476</v>
      </c>
      <c r="N98" s="41">
        <f t="shared" si="25"/>
        <v>51.724021994470476</v>
      </c>
      <c r="O98" s="41">
        <f t="shared" si="26"/>
        <v>51.724021994470476</v>
      </c>
      <c r="P98" s="42">
        <f t="shared" si="27"/>
        <v>51.724021994470476</v>
      </c>
      <c r="Q98" s="42">
        <f t="shared" si="28"/>
        <v>51.876021249669428</v>
      </c>
    </row>
    <row r="99" spans="1:17">
      <c r="A99" s="43"/>
      <c r="B99" s="13">
        <f t="shared" si="17"/>
        <v>2044</v>
      </c>
      <c r="C99" s="44">
        <f t="shared" si="18"/>
        <v>53.17292178091116</v>
      </c>
      <c r="D99" s="45">
        <f t="shared" si="19"/>
        <v>53.017122544332231</v>
      </c>
      <c r="E99" s="45">
        <f t="shared" si="20"/>
        <v>53.017122544332231</v>
      </c>
      <c r="F99" s="45">
        <f t="shared" si="21"/>
        <v>53.017122544332231</v>
      </c>
      <c r="G99" s="46">
        <f t="shared" si="22"/>
        <v>53.017122544332231</v>
      </c>
      <c r="H99" s="42">
        <f t="shared" si="22"/>
        <v>53.17292178091116</v>
      </c>
      <c r="J99" s="43"/>
      <c r="K99" s="13">
        <f t="shared" si="16"/>
        <v>2044</v>
      </c>
      <c r="L99" s="44">
        <f t="shared" si="23"/>
        <v>53.17292178091116</v>
      </c>
      <c r="M99" s="45">
        <f t="shared" si="24"/>
        <v>53.017122544332231</v>
      </c>
      <c r="N99" s="45">
        <f t="shared" si="25"/>
        <v>53.017122544332231</v>
      </c>
      <c r="O99" s="45">
        <f t="shared" si="26"/>
        <v>53.017122544332231</v>
      </c>
      <c r="P99" s="46">
        <f t="shared" si="27"/>
        <v>53.017122544332231</v>
      </c>
      <c r="Q99" s="42">
        <f t="shared" si="28"/>
        <v>53.17292178091116</v>
      </c>
    </row>
    <row r="101" spans="1:17" ht="30.75" customHeight="1">
      <c r="A101" s="100" t="s">
        <v>260</v>
      </c>
      <c r="B101" s="153" t="s">
        <v>261</v>
      </c>
      <c r="C101" s="154"/>
      <c r="D101" s="153" t="s">
        <v>262</v>
      </c>
      <c r="E101" s="154"/>
      <c r="F101" s="153" t="s">
        <v>263</v>
      </c>
      <c r="G101" s="154"/>
    </row>
    <row r="102" spans="1:17" ht="43.5" customHeight="1">
      <c r="A102" s="100" t="s">
        <v>189</v>
      </c>
      <c r="B102" s="155" t="s">
        <v>331</v>
      </c>
      <c r="C102" s="156"/>
      <c r="D102" s="155" t="s">
        <v>331</v>
      </c>
      <c r="E102" s="156"/>
      <c r="F102" s="155" t="s">
        <v>331</v>
      </c>
      <c r="G102" s="156"/>
    </row>
    <row r="103" spans="1:17" ht="43.5" customHeight="1">
      <c r="A103" s="100" t="s">
        <v>190</v>
      </c>
      <c r="B103" s="155" t="s">
        <v>332</v>
      </c>
      <c r="C103" s="156"/>
      <c r="D103" s="155" t="s">
        <v>332</v>
      </c>
      <c r="E103" s="156"/>
      <c r="F103" s="155" t="s">
        <v>332</v>
      </c>
      <c r="G103" s="156"/>
    </row>
    <row r="104" spans="1:17" ht="43.5" customHeight="1">
      <c r="A104" s="100" t="s">
        <v>191</v>
      </c>
      <c r="B104" s="155" t="s">
        <v>345</v>
      </c>
      <c r="C104" s="156"/>
      <c r="D104" s="155" t="s">
        <v>346</v>
      </c>
      <c r="E104" s="156"/>
      <c r="F104" s="155" t="s">
        <v>346</v>
      </c>
      <c r="G104" s="156"/>
    </row>
    <row r="105" spans="1:17" ht="43.5" customHeight="1">
      <c r="A105" s="100" t="s">
        <v>192</v>
      </c>
      <c r="B105" s="162" t="s">
        <v>333</v>
      </c>
      <c r="C105" s="163"/>
      <c r="D105" s="162" t="s">
        <v>333</v>
      </c>
      <c r="E105" s="163"/>
      <c r="F105" s="162" t="s">
        <v>333</v>
      </c>
      <c r="G105" s="163"/>
    </row>
    <row r="106" spans="1:17" ht="43.5" customHeight="1">
      <c r="A106" s="100" t="s">
        <v>193</v>
      </c>
      <c r="B106" s="155" t="s">
        <v>334</v>
      </c>
      <c r="C106" s="156"/>
      <c r="D106" s="155" t="s">
        <v>334</v>
      </c>
      <c r="E106" s="156"/>
      <c r="F106" s="155" t="s">
        <v>334</v>
      </c>
      <c r="G106" s="156"/>
    </row>
    <row r="107" spans="1:17" ht="35.25" customHeight="1">
      <c r="A107" s="100" t="s">
        <v>309</v>
      </c>
      <c r="B107" s="155" t="s">
        <v>198</v>
      </c>
      <c r="C107" s="156"/>
      <c r="D107" s="155" t="s">
        <v>198</v>
      </c>
      <c r="E107" s="156"/>
      <c r="F107" s="164" t="s">
        <v>335</v>
      </c>
      <c r="G107" s="165"/>
    </row>
    <row r="109" spans="1:17">
      <c r="A109" s="134" t="s">
        <v>39</v>
      </c>
      <c r="B109" s="157"/>
      <c r="C109" s="158" t="s">
        <v>60</v>
      </c>
      <c r="D109" s="159"/>
      <c r="E109" s="159"/>
      <c r="F109" s="160"/>
      <c r="H109" s="134" t="s">
        <v>39</v>
      </c>
      <c r="I109" s="157"/>
      <c r="J109" s="158" t="s">
        <v>66</v>
      </c>
      <c r="K109" s="159"/>
      <c r="L109" s="159"/>
      <c r="M109" s="159"/>
      <c r="N109" s="161"/>
    </row>
    <row r="110" spans="1:17">
      <c r="A110" s="134"/>
      <c r="B110" s="157"/>
      <c r="C110" s="47">
        <v>1</v>
      </c>
      <c r="D110" s="47">
        <v>2</v>
      </c>
      <c r="E110" s="47">
        <v>3</v>
      </c>
      <c r="F110" s="47">
        <v>4</v>
      </c>
      <c r="H110" s="134"/>
      <c r="I110" s="157"/>
      <c r="J110" s="47">
        <v>1</v>
      </c>
      <c r="K110" s="47">
        <v>2</v>
      </c>
      <c r="L110" s="47">
        <v>3</v>
      </c>
      <c r="M110" s="47">
        <v>4</v>
      </c>
      <c r="N110" s="47">
        <v>5</v>
      </c>
    </row>
    <row r="111" spans="1:17">
      <c r="A111" s="145" t="s">
        <v>40</v>
      </c>
      <c r="B111" s="145"/>
      <c r="C111" s="48">
        <v>2.13</v>
      </c>
      <c r="D111" s="49">
        <v>2.93</v>
      </c>
      <c r="E111" s="49">
        <v>4</v>
      </c>
      <c r="F111" s="50">
        <v>5.61</v>
      </c>
      <c r="H111" s="145" t="s">
        <v>40</v>
      </c>
      <c r="I111" s="145"/>
      <c r="J111" s="48">
        <v>2.41</v>
      </c>
      <c r="K111" s="48">
        <v>3.24</v>
      </c>
      <c r="L111" s="48">
        <v>4.37</v>
      </c>
      <c r="M111" s="48">
        <v>6.08</v>
      </c>
      <c r="N111" s="48">
        <v>7.45</v>
      </c>
    </row>
    <row r="112" spans="1:17">
      <c r="A112" s="145" t="s">
        <v>41</v>
      </c>
      <c r="B112" s="145"/>
      <c r="C112" s="51">
        <v>2.33</v>
      </c>
      <c r="D112" s="52">
        <v>3.14</v>
      </c>
      <c r="E112" s="52">
        <v>4.24</v>
      </c>
      <c r="F112" s="53">
        <v>5.9</v>
      </c>
      <c r="H112" s="145" t="s">
        <v>41</v>
      </c>
      <c r="I112" s="145"/>
      <c r="J112" s="48">
        <v>2.6</v>
      </c>
      <c r="K112" s="48">
        <v>3.45</v>
      </c>
      <c r="L112" s="48">
        <v>4.6100000000000003</v>
      </c>
      <c r="M112" s="48">
        <v>6.38</v>
      </c>
      <c r="N112" s="48">
        <v>7.8</v>
      </c>
    </row>
    <row r="113" spans="1:15">
      <c r="A113" s="145" t="s">
        <v>42</v>
      </c>
      <c r="B113" s="145"/>
      <c r="C113" s="51">
        <v>2.63</v>
      </c>
      <c r="D113" s="52">
        <v>3.47</v>
      </c>
      <c r="E113" s="52">
        <v>4.62</v>
      </c>
      <c r="F113" s="53">
        <v>6.37</v>
      </c>
      <c r="H113" s="145" t="s">
        <v>42</v>
      </c>
      <c r="I113" s="145"/>
      <c r="J113" s="48">
        <v>2.91</v>
      </c>
      <c r="K113" s="48">
        <v>3.78</v>
      </c>
      <c r="L113" s="48">
        <v>4.9800000000000004</v>
      </c>
      <c r="M113" s="48">
        <v>6.85</v>
      </c>
      <c r="N113" s="48">
        <v>8.36</v>
      </c>
    </row>
    <row r="114" spans="1:15">
      <c r="A114" s="145" t="s">
        <v>43</v>
      </c>
      <c r="B114" s="145"/>
      <c r="C114" s="51">
        <v>2.99</v>
      </c>
      <c r="D114" s="52">
        <v>3.86</v>
      </c>
      <c r="E114" s="52">
        <v>5.0599999999999996</v>
      </c>
      <c r="F114" s="53">
        <v>6.93</v>
      </c>
      <c r="H114" s="145" t="s">
        <v>43</v>
      </c>
      <c r="I114" s="145"/>
      <c r="J114" s="48">
        <v>3.27</v>
      </c>
      <c r="K114" s="48">
        <v>4.17</v>
      </c>
      <c r="L114" s="48">
        <v>5.43</v>
      </c>
      <c r="M114" s="48">
        <v>7.4</v>
      </c>
      <c r="N114" s="48">
        <v>9.02</v>
      </c>
    </row>
    <row r="115" spans="1:15">
      <c r="A115" s="145" t="s">
        <v>44</v>
      </c>
      <c r="B115" s="145"/>
      <c r="C115" s="51">
        <v>3.4</v>
      </c>
      <c r="D115" s="52">
        <v>4.3099999999999996</v>
      </c>
      <c r="E115" s="52">
        <v>5.57</v>
      </c>
      <c r="F115" s="53">
        <v>7.56</v>
      </c>
      <c r="H115" s="145" t="s">
        <v>44</v>
      </c>
      <c r="I115" s="145"/>
      <c r="J115" s="48">
        <v>3.68</v>
      </c>
      <c r="K115" s="48">
        <v>4.62</v>
      </c>
      <c r="L115" s="48">
        <v>5.94</v>
      </c>
      <c r="M115" s="48">
        <v>8.0399999999999991</v>
      </c>
      <c r="N115" s="48">
        <v>9.7799999999999994</v>
      </c>
    </row>
    <row r="116" spans="1:15">
      <c r="A116" s="145" t="s">
        <v>45</v>
      </c>
      <c r="B116" s="145"/>
      <c r="C116" s="51">
        <v>3.72</v>
      </c>
      <c r="D116" s="52">
        <v>4.6500000000000004</v>
      </c>
      <c r="E116" s="52">
        <v>5.96</v>
      </c>
      <c r="F116" s="53">
        <v>8.0399999999999991</v>
      </c>
      <c r="H116" s="145" t="s">
        <v>45</v>
      </c>
      <c r="I116" s="145"/>
      <c r="J116" s="48">
        <v>4</v>
      </c>
      <c r="K116" s="48">
        <v>4.96</v>
      </c>
      <c r="L116" s="48">
        <v>6.32</v>
      </c>
      <c r="M116" s="48">
        <v>8.52</v>
      </c>
      <c r="N116" s="48">
        <v>10.35</v>
      </c>
    </row>
    <row r="117" spans="1:15">
      <c r="A117" s="145" t="s">
        <v>46</v>
      </c>
      <c r="B117" s="145"/>
      <c r="C117" s="51">
        <v>4.0599999999999996</v>
      </c>
      <c r="D117" s="52">
        <v>5.03</v>
      </c>
      <c r="E117" s="52">
        <v>6.39</v>
      </c>
      <c r="F117" s="53">
        <v>8.58</v>
      </c>
      <c r="H117" s="145" t="s">
        <v>46</v>
      </c>
      <c r="I117" s="145"/>
      <c r="J117" s="48">
        <v>4.34</v>
      </c>
      <c r="K117" s="48">
        <v>5.34</v>
      </c>
      <c r="L117" s="48">
        <v>6.75</v>
      </c>
      <c r="M117" s="48">
        <v>9.06</v>
      </c>
      <c r="N117" s="48">
        <v>10.99</v>
      </c>
    </row>
    <row r="118" spans="1:15">
      <c r="A118" s="145" t="s">
        <v>47</v>
      </c>
      <c r="B118" s="145"/>
      <c r="C118" s="51">
        <v>4.29</v>
      </c>
      <c r="D118" s="52">
        <v>5.27</v>
      </c>
      <c r="E118" s="52">
        <v>6.67</v>
      </c>
      <c r="F118" s="53">
        <v>8.93</v>
      </c>
      <c r="H118" s="145" t="s">
        <v>47</v>
      </c>
      <c r="I118" s="145"/>
      <c r="J118" s="48">
        <v>4.57</v>
      </c>
      <c r="K118" s="48">
        <v>5.58</v>
      </c>
      <c r="L118" s="48">
        <v>7.04</v>
      </c>
      <c r="M118" s="48">
        <v>9.41</v>
      </c>
      <c r="N118" s="48">
        <v>11.41</v>
      </c>
    </row>
    <row r="119" spans="1:15">
      <c r="A119" s="145" t="s">
        <v>48</v>
      </c>
      <c r="B119" s="145"/>
      <c r="C119" s="51">
        <v>4.68</v>
      </c>
      <c r="D119" s="52">
        <v>5.7</v>
      </c>
      <c r="E119" s="52">
        <v>7.15</v>
      </c>
      <c r="F119" s="53">
        <v>9.5299999999999994</v>
      </c>
      <c r="H119" s="145" t="s">
        <v>48</v>
      </c>
      <c r="I119" s="145"/>
      <c r="J119" s="48">
        <v>4.96</v>
      </c>
      <c r="K119" s="48">
        <v>6.01</v>
      </c>
      <c r="L119" s="48">
        <v>7.52</v>
      </c>
      <c r="M119" s="48">
        <v>10.01</v>
      </c>
      <c r="N119" s="48">
        <v>12.13</v>
      </c>
    </row>
    <row r="120" spans="1:15">
      <c r="A120" s="145" t="s">
        <v>49</v>
      </c>
      <c r="B120" s="145"/>
      <c r="C120" s="51">
        <v>5.14</v>
      </c>
      <c r="D120" s="52">
        <v>6.19</v>
      </c>
      <c r="E120" s="52">
        <v>7.71</v>
      </c>
      <c r="F120" s="53">
        <v>10.23</v>
      </c>
      <c r="H120" s="145" t="s">
        <v>49</v>
      </c>
      <c r="I120" s="145"/>
      <c r="J120" s="48">
        <v>5.41</v>
      </c>
      <c r="K120" s="48">
        <v>6.5</v>
      </c>
      <c r="L120" s="48">
        <v>8.08</v>
      </c>
      <c r="M120" s="48">
        <v>10.7</v>
      </c>
      <c r="N120" s="48">
        <v>12.96</v>
      </c>
    </row>
    <row r="121" spans="1:15">
      <c r="A121" s="145" t="s">
        <v>50</v>
      </c>
      <c r="B121" s="145"/>
      <c r="C121" s="51">
        <v>5.42</v>
      </c>
      <c r="D121" s="52">
        <v>6.5</v>
      </c>
      <c r="E121" s="52">
        <v>8.07</v>
      </c>
      <c r="F121" s="53">
        <v>10.67</v>
      </c>
      <c r="H121" s="145" t="s">
        <v>50</v>
      </c>
      <c r="I121" s="145"/>
      <c r="J121" s="48">
        <v>5.7</v>
      </c>
      <c r="K121" s="48">
        <v>6.81</v>
      </c>
      <c r="L121" s="48">
        <v>8.43</v>
      </c>
      <c r="M121" s="48">
        <v>11.15</v>
      </c>
      <c r="N121" s="48">
        <v>13.49</v>
      </c>
    </row>
    <row r="122" spans="1:15">
      <c r="A122" s="145" t="s">
        <v>51</v>
      </c>
      <c r="B122" s="145"/>
      <c r="C122" s="51">
        <v>5.74</v>
      </c>
      <c r="D122" s="52">
        <v>6.84</v>
      </c>
      <c r="E122" s="52">
        <v>8.4600000000000009</v>
      </c>
      <c r="F122" s="53">
        <v>11.16</v>
      </c>
      <c r="H122" s="145" t="s">
        <v>51</v>
      </c>
      <c r="I122" s="145"/>
      <c r="J122" s="48">
        <v>6.02</v>
      </c>
      <c r="K122" s="48">
        <v>7.15</v>
      </c>
      <c r="L122" s="48">
        <v>8.83</v>
      </c>
      <c r="M122" s="48">
        <v>11.64</v>
      </c>
      <c r="N122" s="48">
        <v>14.07</v>
      </c>
    </row>
    <row r="124" spans="1:15">
      <c r="A124" s="105"/>
      <c r="B124" s="106"/>
      <c r="C124" s="106"/>
      <c r="D124" s="127" t="s">
        <v>189</v>
      </c>
      <c r="E124" s="106"/>
      <c r="F124" s="106"/>
      <c r="G124" s="107"/>
      <c r="I124" s="105"/>
      <c r="J124" s="106"/>
      <c r="K124" s="106"/>
      <c r="L124" s="127" t="s">
        <v>193</v>
      </c>
      <c r="M124" s="106"/>
      <c r="N124" s="106"/>
      <c r="O124" s="107"/>
    </row>
    <row r="125" spans="1:15">
      <c r="A125" s="104"/>
      <c r="B125" s="104"/>
      <c r="C125" s="104"/>
      <c r="D125" s="111" t="s">
        <v>264</v>
      </c>
      <c r="E125" s="111" t="s">
        <v>235</v>
      </c>
      <c r="F125" s="111" t="s">
        <v>238</v>
      </c>
      <c r="G125" s="111" t="s">
        <v>240</v>
      </c>
      <c r="I125" s="104"/>
      <c r="J125" s="104"/>
      <c r="K125" s="104"/>
      <c r="L125" s="111" t="s">
        <v>264</v>
      </c>
      <c r="M125" s="111" t="s">
        <v>235</v>
      </c>
      <c r="N125" s="111" t="s">
        <v>238</v>
      </c>
      <c r="O125" s="111" t="s">
        <v>240</v>
      </c>
    </row>
    <row r="126" spans="1:15">
      <c r="A126" s="138" t="s">
        <v>227</v>
      </c>
      <c r="B126" s="139"/>
      <c r="C126" s="140"/>
      <c r="D126" s="86">
        <v>356</v>
      </c>
      <c r="E126" s="86">
        <v>3</v>
      </c>
      <c r="F126" s="108">
        <f>51.375-(-0.802)</f>
        <v>52.177</v>
      </c>
      <c r="G126" s="89">
        <f>E113</f>
        <v>4.62</v>
      </c>
      <c r="I126" s="138" t="s">
        <v>295</v>
      </c>
      <c r="J126" s="139"/>
      <c r="K126" s="140"/>
      <c r="L126" s="86">
        <v>354</v>
      </c>
      <c r="M126" s="86">
        <v>2</v>
      </c>
      <c r="N126" s="86">
        <f>42.515-(-0.197)</f>
        <v>42.712000000000003</v>
      </c>
      <c r="O126" s="89">
        <f>K113</f>
        <v>3.78</v>
      </c>
    </row>
    <row r="127" spans="1:15">
      <c r="A127" s="138" t="s">
        <v>265</v>
      </c>
      <c r="B127" s="139"/>
      <c r="C127" s="140"/>
      <c r="D127" s="86">
        <v>3</v>
      </c>
      <c r="E127" s="86">
        <v>3</v>
      </c>
      <c r="F127" s="86">
        <f>304.656-298.9997</f>
        <v>5.6562999999999874</v>
      </c>
      <c r="G127" s="89">
        <f>L113</f>
        <v>4.9800000000000004</v>
      </c>
      <c r="I127" s="138" t="s">
        <v>276</v>
      </c>
      <c r="J127" s="139"/>
      <c r="K127" s="140"/>
      <c r="L127" s="86">
        <v>272</v>
      </c>
      <c r="M127" s="86">
        <v>2</v>
      </c>
      <c r="N127" s="86">
        <f>201.507-133.574</f>
        <v>67.932999999999993</v>
      </c>
      <c r="O127" s="89">
        <f>K113</f>
        <v>3.78</v>
      </c>
    </row>
    <row r="128" spans="1:15">
      <c r="A128" s="138" t="s">
        <v>337</v>
      </c>
      <c r="B128" s="139"/>
      <c r="C128" s="140"/>
      <c r="D128" s="86">
        <v>271</v>
      </c>
      <c r="E128" s="86">
        <v>3</v>
      </c>
      <c r="F128" s="108">
        <f>164.455-157.933</f>
        <v>6.5220000000000198</v>
      </c>
      <c r="G128" s="89">
        <f>L113</f>
        <v>4.9800000000000004</v>
      </c>
      <c r="I128" s="112" t="s">
        <v>266</v>
      </c>
      <c r="J128" s="113"/>
      <c r="K128" s="114"/>
      <c r="L128" s="86"/>
      <c r="M128" s="86"/>
      <c r="N128" s="110">
        <f>SUM(N126:N127)</f>
        <v>110.645</v>
      </c>
      <c r="O128" s="109">
        <f>ROUND((N126*O126+N127*O127)/N128,2)</f>
        <v>3.78</v>
      </c>
    </row>
    <row r="129" spans="1:15">
      <c r="A129" s="138" t="s">
        <v>338</v>
      </c>
      <c r="B129" s="139"/>
      <c r="C129" s="140"/>
      <c r="D129" s="86">
        <v>357</v>
      </c>
      <c r="E129" s="86">
        <v>2</v>
      </c>
      <c r="F129" s="86">
        <f>112.182-67.769</f>
        <v>44.412999999999997</v>
      </c>
      <c r="G129" s="89">
        <f>E113</f>
        <v>4.62</v>
      </c>
    </row>
    <row r="130" spans="1:15">
      <c r="A130" s="138" t="s">
        <v>266</v>
      </c>
      <c r="B130" s="139"/>
      <c r="C130" s="140"/>
      <c r="D130" s="86"/>
      <c r="E130" s="86"/>
      <c r="F130" s="110">
        <f>SUM(F126:F129)</f>
        <v>108.7683</v>
      </c>
      <c r="G130" s="109">
        <f>ROUND((G126*F126+G127*F127+G128*F128+F129*G129)/SUM(F126:F129),2)</f>
        <v>4.66</v>
      </c>
      <c r="I130" s="105"/>
      <c r="J130" s="106"/>
      <c r="K130" s="106"/>
      <c r="L130" s="127" t="s">
        <v>192</v>
      </c>
      <c r="M130" s="106"/>
      <c r="N130" s="106"/>
      <c r="O130" s="107"/>
    </row>
    <row r="131" spans="1:15">
      <c r="I131" s="104"/>
      <c r="J131" s="104"/>
      <c r="K131" s="104"/>
      <c r="L131" s="111" t="s">
        <v>264</v>
      </c>
      <c r="M131" s="111" t="s">
        <v>235</v>
      </c>
      <c r="N131" s="111" t="s">
        <v>238</v>
      </c>
      <c r="O131" s="111" t="s">
        <v>240</v>
      </c>
    </row>
    <row r="132" spans="1:15">
      <c r="A132" s="105"/>
      <c r="B132" s="106"/>
      <c r="C132" s="106"/>
      <c r="D132" s="127" t="s">
        <v>190</v>
      </c>
      <c r="E132" s="106"/>
      <c r="F132" s="106"/>
      <c r="G132" s="107"/>
      <c r="I132" s="112" t="s">
        <v>270</v>
      </c>
      <c r="J132" s="113"/>
      <c r="K132" s="114"/>
      <c r="L132" s="86">
        <v>3</v>
      </c>
      <c r="M132" s="86">
        <v>4</v>
      </c>
      <c r="N132" s="86">
        <v>9.4359999999999999</v>
      </c>
      <c r="O132" s="89">
        <f>M113</f>
        <v>6.85</v>
      </c>
    </row>
    <row r="133" spans="1:15">
      <c r="A133" s="104"/>
      <c r="B133" s="104"/>
      <c r="C133" s="104"/>
      <c r="D133" s="111" t="s">
        <v>264</v>
      </c>
      <c r="E133" s="111" t="s">
        <v>235</v>
      </c>
      <c r="F133" s="111" t="s">
        <v>238</v>
      </c>
      <c r="G133" s="111" t="s">
        <v>240</v>
      </c>
      <c r="I133" s="112" t="s">
        <v>271</v>
      </c>
      <c r="J133" s="113"/>
      <c r="K133" s="114"/>
      <c r="L133" s="86">
        <v>3</v>
      </c>
      <c r="M133" s="86">
        <v>5</v>
      </c>
      <c r="N133" s="86">
        <v>28.888999999999999</v>
      </c>
      <c r="O133" s="89">
        <f>N113</f>
        <v>8.36</v>
      </c>
    </row>
    <row r="134" spans="1:15">
      <c r="A134" s="138" t="s">
        <v>336</v>
      </c>
      <c r="B134" s="139"/>
      <c r="C134" s="140"/>
      <c r="D134" s="86">
        <v>271</v>
      </c>
      <c r="E134" s="86">
        <v>2</v>
      </c>
      <c r="F134" s="108">
        <f>122.707-95.798</f>
        <v>26.908999999999992</v>
      </c>
      <c r="G134" s="89">
        <f>K113</f>
        <v>3.78</v>
      </c>
      <c r="I134" s="112" t="s">
        <v>285</v>
      </c>
      <c r="J134" s="113"/>
      <c r="K134" s="114"/>
      <c r="L134" s="86">
        <v>352</v>
      </c>
      <c r="M134" s="86">
        <v>2</v>
      </c>
      <c r="N134" s="86">
        <v>3.6769999999999996</v>
      </c>
      <c r="O134" s="89">
        <f>K113</f>
        <v>3.78</v>
      </c>
    </row>
    <row r="135" spans="1:15">
      <c r="A135" s="112" t="s">
        <v>268</v>
      </c>
      <c r="B135" s="113"/>
      <c r="C135" s="114"/>
      <c r="D135" s="86">
        <v>271</v>
      </c>
      <c r="E135" s="86">
        <v>3</v>
      </c>
      <c r="F135" s="108">
        <f>164.455-157.933</f>
        <v>6.5220000000000198</v>
      </c>
      <c r="G135" s="89">
        <f>L113</f>
        <v>4.9800000000000004</v>
      </c>
      <c r="I135" s="112" t="s">
        <v>286</v>
      </c>
      <c r="J135" s="113"/>
      <c r="K135" s="114"/>
      <c r="L135" s="86">
        <v>352</v>
      </c>
      <c r="M135" s="86">
        <v>1</v>
      </c>
      <c r="N135" s="86">
        <v>1.5459999999999998</v>
      </c>
      <c r="O135" s="89">
        <f>J113</f>
        <v>2.91</v>
      </c>
    </row>
    <row r="136" spans="1:15">
      <c r="A136" s="138" t="s">
        <v>269</v>
      </c>
      <c r="B136" s="139"/>
      <c r="C136" s="140"/>
      <c r="D136" s="86">
        <v>3</v>
      </c>
      <c r="E136" s="86">
        <v>3</v>
      </c>
      <c r="F136" s="86">
        <f>304.656-298.9997</f>
        <v>5.6562999999999874</v>
      </c>
      <c r="G136" s="89">
        <f>L113</f>
        <v>4.9800000000000004</v>
      </c>
      <c r="I136" s="112" t="s">
        <v>287</v>
      </c>
      <c r="J136" s="113"/>
      <c r="K136" s="114"/>
      <c r="L136" s="86">
        <v>352</v>
      </c>
      <c r="M136" s="86">
        <v>1</v>
      </c>
      <c r="N136" s="86">
        <v>4.8879999999999999</v>
      </c>
      <c r="O136" s="89">
        <f>J113</f>
        <v>2.91</v>
      </c>
    </row>
    <row r="137" spans="1:15">
      <c r="A137" s="138" t="s">
        <v>267</v>
      </c>
      <c r="B137" s="139"/>
      <c r="C137" s="140"/>
      <c r="D137" s="86">
        <v>353</v>
      </c>
      <c r="E137" s="86">
        <v>4</v>
      </c>
      <c r="F137" s="86">
        <f>44.699-(-0.91)</f>
        <v>45.608999999999995</v>
      </c>
      <c r="G137" s="89">
        <f>M113</f>
        <v>6.85</v>
      </c>
      <c r="I137" s="112" t="s">
        <v>288</v>
      </c>
      <c r="J137" s="113"/>
      <c r="K137" s="114"/>
      <c r="L137" s="86">
        <v>352</v>
      </c>
      <c r="M137" s="86">
        <v>2</v>
      </c>
      <c r="N137" s="86">
        <v>2.5600000000000005</v>
      </c>
      <c r="O137" s="89">
        <f>K113</f>
        <v>3.78</v>
      </c>
    </row>
    <row r="138" spans="1:15">
      <c r="A138" s="138" t="s">
        <v>266</v>
      </c>
      <c r="B138" s="139"/>
      <c r="C138" s="140"/>
      <c r="D138" s="86"/>
      <c r="E138" s="86"/>
      <c r="F138" s="110">
        <f>SUM(F134:F137)</f>
        <v>84.696299999999994</v>
      </c>
      <c r="G138" s="109">
        <f>ROUND((G134*F134+G136*F136+G137*F137+F135*G135)/F138,2)</f>
        <v>5.61</v>
      </c>
      <c r="I138" s="112" t="s">
        <v>280</v>
      </c>
      <c r="J138" s="113"/>
      <c r="K138" s="114"/>
      <c r="L138" s="86">
        <v>272</v>
      </c>
      <c r="M138" s="86">
        <v>2</v>
      </c>
      <c r="N138" s="86">
        <f>201.507-196.001</f>
        <v>5.5060000000000002</v>
      </c>
      <c r="O138" s="89">
        <f>K113</f>
        <v>3.78</v>
      </c>
    </row>
    <row r="139" spans="1:15">
      <c r="I139" s="112" t="s">
        <v>277</v>
      </c>
      <c r="J139" s="113"/>
      <c r="K139" s="114"/>
      <c r="L139" s="86">
        <v>351</v>
      </c>
      <c r="M139" s="86">
        <v>3</v>
      </c>
      <c r="N139" s="86">
        <v>2.8980000000000001</v>
      </c>
      <c r="O139" s="89">
        <f>L113</f>
        <v>4.9800000000000004</v>
      </c>
    </row>
    <row r="140" spans="1:15" ht="21">
      <c r="A140" s="105"/>
      <c r="B140" s="106"/>
      <c r="C140" s="106"/>
      <c r="D140" s="130" t="s">
        <v>347</v>
      </c>
      <c r="E140" s="106"/>
      <c r="F140" s="106"/>
      <c r="G140" s="107"/>
      <c r="I140" s="112" t="s">
        <v>278</v>
      </c>
      <c r="J140" s="113"/>
      <c r="K140" s="114"/>
      <c r="L140" s="86">
        <v>351</v>
      </c>
      <c r="M140" s="86">
        <v>4</v>
      </c>
      <c r="N140" s="86">
        <v>10.011000000000001</v>
      </c>
      <c r="O140" s="89">
        <f>M113</f>
        <v>6.85</v>
      </c>
    </row>
    <row r="141" spans="1:15">
      <c r="A141" s="104"/>
      <c r="B141" s="104"/>
      <c r="C141" s="104"/>
      <c r="D141" s="111" t="s">
        <v>264</v>
      </c>
      <c r="E141" s="111" t="s">
        <v>235</v>
      </c>
      <c r="F141" s="111" t="s">
        <v>238</v>
      </c>
      <c r="G141" s="111" t="s">
        <v>240</v>
      </c>
      <c r="I141" s="112" t="s">
        <v>279</v>
      </c>
      <c r="J141" s="113"/>
      <c r="K141" s="114"/>
      <c r="L141" s="86">
        <v>351</v>
      </c>
      <c r="M141" s="86">
        <v>3</v>
      </c>
      <c r="N141" s="86">
        <v>20.131</v>
      </c>
      <c r="O141" s="89">
        <f>L113</f>
        <v>4.9800000000000004</v>
      </c>
    </row>
    <row r="142" spans="1:15">
      <c r="A142" s="138" t="s">
        <v>270</v>
      </c>
      <c r="B142" s="139"/>
      <c r="C142" s="140"/>
      <c r="D142" s="86">
        <v>3</v>
      </c>
      <c r="E142" s="86">
        <v>4</v>
      </c>
      <c r="F142" s="86">
        <v>9.4359999999999999</v>
      </c>
      <c r="G142" s="89">
        <f>M113</f>
        <v>6.85</v>
      </c>
      <c r="I142" s="112" t="s">
        <v>266</v>
      </c>
      <c r="J142" s="113"/>
      <c r="K142" s="114"/>
      <c r="L142" s="86"/>
      <c r="M142" s="86"/>
      <c r="N142" s="110">
        <f>SUM(N132:N141)</f>
        <v>89.542000000000002</v>
      </c>
      <c r="O142" s="109">
        <f>ROUND((SUMPRODUCT(N132:N141,O132:O141))/N142,2)</f>
        <v>6.17</v>
      </c>
    </row>
    <row r="143" spans="1:15">
      <c r="A143" s="138" t="s">
        <v>271</v>
      </c>
      <c r="B143" s="139"/>
      <c r="C143" s="140"/>
      <c r="D143" s="86">
        <v>3</v>
      </c>
      <c r="E143" s="86">
        <v>5</v>
      </c>
      <c r="F143" s="86">
        <v>28.888999999999999</v>
      </c>
      <c r="G143" s="89">
        <f>N113</f>
        <v>8.36</v>
      </c>
    </row>
    <row r="144" spans="1:15">
      <c r="A144" s="138" t="s">
        <v>272</v>
      </c>
      <c r="B144" s="139"/>
      <c r="C144" s="140"/>
      <c r="D144" s="86">
        <v>3</v>
      </c>
      <c r="E144" s="86">
        <v>4</v>
      </c>
      <c r="F144" s="86">
        <v>2.4940000000000002</v>
      </c>
      <c r="G144" s="89">
        <f>M113</f>
        <v>6.85</v>
      </c>
      <c r="I144" s="105"/>
      <c r="J144" s="106"/>
      <c r="K144" s="106"/>
      <c r="L144" s="127" t="s">
        <v>309</v>
      </c>
      <c r="M144" s="106"/>
      <c r="N144" s="106"/>
      <c r="O144" s="107"/>
    </row>
    <row r="145" spans="1:15">
      <c r="A145" s="138" t="s">
        <v>273</v>
      </c>
      <c r="B145" s="139"/>
      <c r="C145" s="140"/>
      <c r="D145" s="86">
        <v>3</v>
      </c>
      <c r="E145" s="86">
        <v>4</v>
      </c>
      <c r="F145" s="86">
        <v>4.8849999999999998</v>
      </c>
      <c r="G145" s="89">
        <f>M113</f>
        <v>6.85</v>
      </c>
      <c r="I145" s="104"/>
      <c r="J145" s="104"/>
      <c r="K145" s="104"/>
      <c r="L145" s="111" t="s">
        <v>264</v>
      </c>
      <c r="M145" s="111" t="s">
        <v>235</v>
      </c>
      <c r="N145" s="111" t="s">
        <v>238</v>
      </c>
      <c r="O145" s="111" t="s">
        <v>240</v>
      </c>
    </row>
    <row r="146" spans="1:15">
      <c r="A146" s="138" t="s">
        <v>265</v>
      </c>
      <c r="B146" s="139"/>
      <c r="C146" s="140"/>
      <c r="D146" s="86">
        <v>3</v>
      </c>
      <c r="E146" s="86">
        <v>3</v>
      </c>
      <c r="F146" s="86">
        <v>5.6589999999999998</v>
      </c>
      <c r="G146" s="89">
        <f>L113</f>
        <v>4.9800000000000004</v>
      </c>
      <c r="I146" s="138" t="s">
        <v>277</v>
      </c>
      <c r="J146" s="139"/>
      <c r="K146" s="140"/>
      <c r="L146" s="86">
        <v>351</v>
      </c>
      <c r="M146" s="86">
        <v>3</v>
      </c>
      <c r="N146" s="86">
        <v>2.8980000000000001</v>
      </c>
      <c r="O146" s="89">
        <f>L113</f>
        <v>4.9800000000000004</v>
      </c>
    </row>
    <row r="147" spans="1:15">
      <c r="A147" s="138" t="s">
        <v>274</v>
      </c>
      <c r="B147" s="139"/>
      <c r="C147" s="140"/>
      <c r="D147" s="86">
        <v>3</v>
      </c>
      <c r="E147" s="86">
        <v>2</v>
      </c>
      <c r="F147" s="86">
        <v>4.4989999999999997</v>
      </c>
      <c r="G147" s="89">
        <f>K113</f>
        <v>3.78</v>
      </c>
      <c r="I147" s="138" t="s">
        <v>343</v>
      </c>
      <c r="J147" s="139"/>
      <c r="K147" s="140"/>
      <c r="L147" s="86">
        <v>351</v>
      </c>
      <c r="M147" s="86">
        <v>4</v>
      </c>
      <c r="N147" s="86">
        <f>4.625-N146</f>
        <v>1.7269999999999999</v>
      </c>
      <c r="O147" s="89">
        <f>M113</f>
        <v>6.85</v>
      </c>
    </row>
    <row r="148" spans="1:15">
      <c r="A148" s="138" t="s">
        <v>294</v>
      </c>
      <c r="B148" s="139"/>
      <c r="C148" s="140"/>
      <c r="D148" s="86">
        <v>3</v>
      </c>
      <c r="E148" s="86">
        <v>4</v>
      </c>
      <c r="F148" s="86">
        <f>362.041-309.155</f>
        <v>52.886000000000024</v>
      </c>
      <c r="G148" s="89">
        <f>M113</f>
        <v>6.85</v>
      </c>
      <c r="I148" s="138" t="s">
        <v>342</v>
      </c>
      <c r="J148" s="139"/>
      <c r="K148" s="140"/>
      <c r="L148" s="86" t="s">
        <v>198</v>
      </c>
      <c r="M148" s="86">
        <v>3</v>
      </c>
      <c r="N148" s="86">
        <f>9.3-4.625</f>
        <v>4.6750000000000007</v>
      </c>
      <c r="O148" s="89">
        <f>E113</f>
        <v>4.62</v>
      </c>
    </row>
    <row r="149" spans="1:15">
      <c r="A149" s="138" t="s">
        <v>266</v>
      </c>
      <c r="B149" s="139"/>
      <c r="C149" s="140"/>
      <c r="D149" s="86"/>
      <c r="E149" s="86"/>
      <c r="F149" s="110">
        <f>SUM(F142:F148)</f>
        <v>108.74800000000002</v>
      </c>
      <c r="G149" s="109">
        <f>ROUND((SUMPRODUCT(F142:F148,G142:G148))/F149,2)</f>
        <v>7.03</v>
      </c>
      <c r="I149" s="138" t="s">
        <v>344</v>
      </c>
      <c r="J149" s="139"/>
      <c r="K149" s="140"/>
      <c r="L149" s="86" t="s">
        <v>198</v>
      </c>
      <c r="M149" s="86">
        <v>3</v>
      </c>
      <c r="N149" s="129">
        <v>10</v>
      </c>
      <c r="O149" s="89">
        <f>E113</f>
        <v>4.62</v>
      </c>
    </row>
    <row r="150" spans="1:15">
      <c r="I150" s="138" t="s">
        <v>266</v>
      </c>
      <c r="J150" s="139"/>
      <c r="K150" s="140"/>
      <c r="L150" s="86"/>
      <c r="M150" s="86"/>
      <c r="N150" s="110">
        <f>SUM(N146:N149)</f>
        <v>19.3</v>
      </c>
      <c r="O150" s="109">
        <f>ROUND((O146*N146+O147*N147+O148*N148+N149*O149)/SUM(N146:N149),2)</f>
        <v>4.87</v>
      </c>
    </row>
    <row r="151" spans="1:15" ht="21">
      <c r="A151" s="105"/>
      <c r="B151" s="106"/>
      <c r="C151" s="106"/>
      <c r="D151" s="130" t="s">
        <v>348</v>
      </c>
      <c r="E151" s="106"/>
      <c r="F151" s="106"/>
      <c r="G151" s="107"/>
    </row>
    <row r="152" spans="1:15">
      <c r="A152" s="104"/>
      <c r="B152" s="104"/>
      <c r="C152" s="104"/>
      <c r="D152" s="111" t="s">
        <v>264</v>
      </c>
      <c r="E152" s="111" t="s">
        <v>235</v>
      </c>
      <c r="F152" s="111" t="s">
        <v>238</v>
      </c>
      <c r="G152" s="111" t="s">
        <v>240</v>
      </c>
    </row>
    <row r="153" spans="1:15">
      <c r="A153" s="138" t="s">
        <v>270</v>
      </c>
      <c r="B153" s="139"/>
      <c r="C153" s="140"/>
      <c r="D153" s="86">
        <v>3</v>
      </c>
      <c r="E153" s="86">
        <v>4</v>
      </c>
      <c r="F153" s="86">
        <v>9.4359999999999999</v>
      </c>
      <c r="G153" s="89">
        <f>G142</f>
        <v>6.85</v>
      </c>
    </row>
    <row r="154" spans="1:15">
      <c r="A154" s="138" t="s">
        <v>271</v>
      </c>
      <c r="B154" s="139"/>
      <c r="C154" s="140"/>
      <c r="D154" s="86">
        <v>3</v>
      </c>
      <c r="E154" s="86">
        <v>5</v>
      </c>
      <c r="F154" s="86">
        <v>28.888999999999999</v>
      </c>
      <c r="G154" s="89">
        <f t="shared" ref="G154:G159" si="29">G143</f>
        <v>8.36</v>
      </c>
    </row>
    <row r="155" spans="1:15">
      <c r="A155" s="138" t="s">
        <v>272</v>
      </c>
      <c r="B155" s="139"/>
      <c r="C155" s="140"/>
      <c r="D155" s="86">
        <v>3</v>
      </c>
      <c r="E155" s="86">
        <v>4</v>
      </c>
      <c r="F155" s="86">
        <v>2.4940000000000002</v>
      </c>
      <c r="G155" s="89">
        <f t="shared" si="29"/>
        <v>6.85</v>
      </c>
    </row>
    <row r="156" spans="1:15">
      <c r="A156" s="138" t="s">
        <v>273</v>
      </c>
      <c r="B156" s="139"/>
      <c r="C156" s="140"/>
      <c r="D156" s="86">
        <v>3</v>
      </c>
      <c r="E156" s="86">
        <v>4</v>
      </c>
      <c r="F156" s="86">
        <v>4.8849999999999998</v>
      </c>
      <c r="G156" s="89">
        <f t="shared" si="29"/>
        <v>6.85</v>
      </c>
    </row>
    <row r="157" spans="1:15">
      <c r="A157" s="138" t="s">
        <v>265</v>
      </c>
      <c r="B157" s="139"/>
      <c r="C157" s="140"/>
      <c r="D157" s="86">
        <v>3</v>
      </c>
      <c r="E157" s="86">
        <v>3</v>
      </c>
      <c r="F157" s="86">
        <v>5.6589999999999998</v>
      </c>
      <c r="G157" s="89">
        <f t="shared" si="29"/>
        <v>4.9800000000000004</v>
      </c>
    </row>
    <row r="158" spans="1:15">
      <c r="A158" s="138" t="s">
        <v>274</v>
      </c>
      <c r="B158" s="139"/>
      <c r="C158" s="140"/>
      <c r="D158" s="86">
        <v>3</v>
      </c>
      <c r="E158" s="86">
        <v>2</v>
      </c>
      <c r="F158" s="86">
        <v>4.4989999999999997</v>
      </c>
      <c r="G158" s="89">
        <f t="shared" si="29"/>
        <v>3.78</v>
      </c>
    </row>
    <row r="159" spans="1:15">
      <c r="A159" s="138" t="s">
        <v>275</v>
      </c>
      <c r="B159" s="139"/>
      <c r="C159" s="140"/>
      <c r="D159" s="86">
        <v>3</v>
      </c>
      <c r="E159" s="86">
        <v>4</v>
      </c>
      <c r="F159" s="86">
        <f>343.376-309.155</f>
        <v>34.221000000000004</v>
      </c>
      <c r="G159" s="89">
        <f t="shared" si="29"/>
        <v>6.85</v>
      </c>
    </row>
    <row r="160" spans="1:15">
      <c r="A160" s="138" t="s">
        <v>266</v>
      </c>
      <c r="B160" s="139"/>
      <c r="C160" s="140"/>
      <c r="D160" s="86"/>
      <c r="E160" s="86"/>
      <c r="F160" s="110">
        <f>SUM(F153:F159)</f>
        <v>90.082999999999998</v>
      </c>
      <c r="G160" s="109">
        <f>ROUND((SUMPRODUCT(F153:F159,G153:G159))/F160,2)</f>
        <v>7.06</v>
      </c>
    </row>
    <row r="162" spans="1:17" ht="10.5" customHeight="1">
      <c r="A162" s="135" t="s">
        <v>36</v>
      </c>
      <c r="B162" s="136"/>
      <c r="C162" s="136"/>
      <c r="D162" s="136"/>
      <c r="E162" s="136"/>
      <c r="F162" s="136"/>
      <c r="G162" s="136"/>
      <c r="H162" s="137"/>
      <c r="J162" s="135" t="s">
        <v>37</v>
      </c>
      <c r="K162" s="136"/>
      <c r="L162" s="136"/>
      <c r="M162" s="136"/>
      <c r="N162" s="136"/>
      <c r="O162" s="136"/>
      <c r="P162" s="136"/>
      <c r="Q162" s="137"/>
    </row>
    <row r="163" spans="1:17">
      <c r="A163" s="134" t="s">
        <v>5</v>
      </c>
      <c r="B163" s="134"/>
      <c r="C163" s="6">
        <v>1</v>
      </c>
      <c r="D163" s="6">
        <v>2</v>
      </c>
      <c r="E163" s="6">
        <v>3</v>
      </c>
      <c r="F163" s="6">
        <v>4</v>
      </c>
      <c r="G163" s="6">
        <v>5</v>
      </c>
      <c r="H163" s="6">
        <v>6</v>
      </c>
      <c r="J163" s="134" t="s">
        <v>5</v>
      </c>
      <c r="K163" s="134"/>
      <c r="L163" s="6">
        <v>1</v>
      </c>
      <c r="M163" s="6">
        <v>2</v>
      </c>
      <c r="N163" s="6">
        <v>3</v>
      </c>
      <c r="O163" s="6">
        <v>4</v>
      </c>
      <c r="P163" s="6">
        <v>5</v>
      </c>
      <c r="Q163" s="6">
        <v>6</v>
      </c>
    </row>
    <row r="164" spans="1:17" ht="31.5">
      <c r="A164" s="134" t="s">
        <v>6</v>
      </c>
      <c r="B164" s="134"/>
      <c r="C164" s="35" t="s">
        <v>67</v>
      </c>
      <c r="D164" s="35" t="s">
        <v>68</v>
      </c>
      <c r="E164" s="35" t="s">
        <v>69</v>
      </c>
      <c r="F164" s="35" t="s">
        <v>70</v>
      </c>
      <c r="G164" s="35" t="s">
        <v>71</v>
      </c>
      <c r="H164" s="35" t="s">
        <v>327</v>
      </c>
      <c r="J164" s="134" t="s">
        <v>6</v>
      </c>
      <c r="K164" s="134"/>
      <c r="L164" s="35" t="s">
        <v>67</v>
      </c>
      <c r="M164" s="35" t="s">
        <v>68</v>
      </c>
      <c r="N164" s="35" t="s">
        <v>69</v>
      </c>
      <c r="O164" s="35" t="s">
        <v>70</v>
      </c>
      <c r="P164" s="35" t="s">
        <v>71</v>
      </c>
      <c r="Q164" s="35" t="s">
        <v>327</v>
      </c>
    </row>
    <row r="165" spans="1:17">
      <c r="A165" s="8"/>
      <c r="B165" s="9" t="s">
        <v>22</v>
      </c>
      <c r="C165" s="36" t="s">
        <v>38</v>
      </c>
      <c r="D165" s="36" t="s">
        <v>38</v>
      </c>
      <c r="E165" s="36" t="s">
        <v>38</v>
      </c>
      <c r="F165" s="36" t="s">
        <v>38</v>
      </c>
      <c r="G165" s="36" t="s">
        <v>38</v>
      </c>
      <c r="H165" s="36" t="s">
        <v>38</v>
      </c>
      <c r="J165" s="8"/>
      <c r="K165" s="9" t="s">
        <v>22</v>
      </c>
      <c r="L165" s="36" t="s">
        <v>38</v>
      </c>
      <c r="M165" s="36" t="s">
        <v>38</v>
      </c>
      <c r="N165" s="36" t="s">
        <v>38</v>
      </c>
      <c r="O165" s="36" t="s">
        <v>38</v>
      </c>
      <c r="P165" s="36" t="s">
        <v>38</v>
      </c>
      <c r="Q165" s="36" t="s">
        <v>38</v>
      </c>
    </row>
    <row r="166" spans="1:17">
      <c r="A166" s="12"/>
      <c r="B166" s="13">
        <f t="shared" ref="B166:B196" si="30">B69</f>
        <v>2014</v>
      </c>
      <c r="C166" s="37">
        <f>$G$130</f>
        <v>4.66</v>
      </c>
      <c r="D166" s="39">
        <f>$G$138</f>
        <v>5.61</v>
      </c>
      <c r="E166" s="37">
        <f>$G$160</f>
        <v>7.06</v>
      </c>
      <c r="F166" s="37">
        <f t="shared" ref="F166:F196" si="31">$O$142</f>
        <v>6.17</v>
      </c>
      <c r="G166" s="37">
        <f t="shared" ref="G166:G196" si="32">$O$128</f>
        <v>3.78</v>
      </c>
      <c r="H166" s="37">
        <f>$O$150</f>
        <v>4.87</v>
      </c>
      <c r="J166" s="12"/>
      <c r="K166" s="13">
        <f t="shared" ref="K166:Q166" si="33">B166</f>
        <v>2014</v>
      </c>
      <c r="L166" s="37">
        <f t="shared" si="33"/>
        <v>4.66</v>
      </c>
      <c r="M166" s="37">
        <f t="shared" si="33"/>
        <v>5.61</v>
      </c>
      <c r="N166" s="37">
        <f t="shared" si="33"/>
        <v>7.06</v>
      </c>
      <c r="O166" s="37">
        <f t="shared" si="33"/>
        <v>6.17</v>
      </c>
      <c r="P166" s="37">
        <f t="shared" si="33"/>
        <v>3.78</v>
      </c>
      <c r="Q166" s="37">
        <f t="shared" si="33"/>
        <v>4.87</v>
      </c>
    </row>
    <row r="167" spans="1:17">
      <c r="A167" s="12"/>
      <c r="B167" s="13">
        <f t="shared" si="30"/>
        <v>2015</v>
      </c>
      <c r="C167" s="37">
        <f t="shared" ref="C167:C196" si="34">$G$130</f>
        <v>4.66</v>
      </c>
      <c r="D167" s="39">
        <f t="shared" ref="D167:D196" si="35">$G$138</f>
        <v>5.61</v>
      </c>
      <c r="E167" s="37">
        <f t="shared" ref="E167:E176" si="36">$G$160</f>
        <v>7.06</v>
      </c>
      <c r="F167" s="37">
        <f t="shared" si="31"/>
        <v>6.17</v>
      </c>
      <c r="G167" s="37">
        <f t="shared" si="32"/>
        <v>3.78</v>
      </c>
      <c r="H167" s="37">
        <f t="shared" ref="H167:H196" si="37">$O$150</f>
        <v>4.87</v>
      </c>
      <c r="J167" s="12"/>
      <c r="K167" s="13">
        <f t="shared" ref="K167:K196" si="38">B167</f>
        <v>2015</v>
      </c>
      <c r="L167" s="37">
        <f t="shared" ref="L167:L196" si="39">C167</f>
        <v>4.66</v>
      </c>
      <c r="M167" s="37">
        <f t="shared" ref="M167:M196" si="40">D167</f>
        <v>5.61</v>
      </c>
      <c r="N167" s="37">
        <f t="shared" ref="N167:N196" si="41">E167</f>
        <v>7.06</v>
      </c>
      <c r="O167" s="37">
        <f t="shared" ref="O167:O196" si="42">F167</f>
        <v>6.17</v>
      </c>
      <c r="P167" s="37">
        <f t="shared" ref="P167:P196" si="43">G167</f>
        <v>3.78</v>
      </c>
      <c r="Q167" s="37">
        <f t="shared" ref="Q167:Q196" si="44">H167</f>
        <v>4.87</v>
      </c>
    </row>
    <row r="168" spans="1:17">
      <c r="A168" s="12"/>
      <c r="B168" s="13">
        <f t="shared" si="30"/>
        <v>2016</v>
      </c>
      <c r="C168" s="37">
        <f t="shared" si="34"/>
        <v>4.66</v>
      </c>
      <c r="D168" s="39">
        <f t="shared" si="35"/>
        <v>5.61</v>
      </c>
      <c r="E168" s="37">
        <f t="shared" si="36"/>
        <v>7.06</v>
      </c>
      <c r="F168" s="37">
        <f t="shared" si="31"/>
        <v>6.17</v>
      </c>
      <c r="G168" s="37">
        <f t="shared" si="32"/>
        <v>3.78</v>
      </c>
      <c r="H168" s="37">
        <f t="shared" si="37"/>
        <v>4.87</v>
      </c>
      <c r="J168" s="12"/>
      <c r="K168" s="13">
        <f t="shared" si="38"/>
        <v>2016</v>
      </c>
      <c r="L168" s="37">
        <f t="shared" si="39"/>
        <v>4.66</v>
      </c>
      <c r="M168" s="37">
        <f t="shared" si="40"/>
        <v>5.61</v>
      </c>
      <c r="N168" s="37">
        <f t="shared" si="41"/>
        <v>7.06</v>
      </c>
      <c r="O168" s="37">
        <f t="shared" si="42"/>
        <v>6.17</v>
      </c>
      <c r="P168" s="37">
        <f t="shared" si="43"/>
        <v>3.78</v>
      </c>
      <c r="Q168" s="37">
        <f t="shared" si="44"/>
        <v>4.87</v>
      </c>
    </row>
    <row r="169" spans="1:17">
      <c r="A169" s="12"/>
      <c r="B169" s="13">
        <f t="shared" si="30"/>
        <v>2017</v>
      </c>
      <c r="C169" s="37">
        <f t="shared" si="34"/>
        <v>4.66</v>
      </c>
      <c r="D169" s="39">
        <f t="shared" si="35"/>
        <v>5.61</v>
      </c>
      <c r="E169" s="37">
        <f t="shared" si="36"/>
        <v>7.06</v>
      </c>
      <c r="F169" s="37">
        <f t="shared" si="31"/>
        <v>6.17</v>
      </c>
      <c r="G169" s="37">
        <f t="shared" si="32"/>
        <v>3.78</v>
      </c>
      <c r="H169" s="37">
        <f t="shared" si="37"/>
        <v>4.87</v>
      </c>
      <c r="J169" s="12"/>
      <c r="K169" s="13">
        <f t="shared" si="38"/>
        <v>2017</v>
      </c>
      <c r="L169" s="37">
        <f t="shared" si="39"/>
        <v>4.66</v>
      </c>
      <c r="M169" s="37">
        <f t="shared" si="40"/>
        <v>5.61</v>
      </c>
      <c r="N169" s="37">
        <f t="shared" si="41"/>
        <v>7.06</v>
      </c>
      <c r="O169" s="37">
        <f t="shared" si="42"/>
        <v>6.17</v>
      </c>
      <c r="P169" s="37">
        <f t="shared" si="43"/>
        <v>3.78</v>
      </c>
      <c r="Q169" s="37">
        <f t="shared" si="44"/>
        <v>4.87</v>
      </c>
    </row>
    <row r="170" spans="1:17">
      <c r="A170" s="12"/>
      <c r="B170" s="13">
        <f t="shared" si="30"/>
        <v>2018</v>
      </c>
      <c r="C170" s="37">
        <f t="shared" si="34"/>
        <v>4.66</v>
      </c>
      <c r="D170" s="39">
        <f t="shared" si="35"/>
        <v>5.61</v>
      </c>
      <c r="E170" s="37">
        <f t="shared" si="36"/>
        <v>7.06</v>
      </c>
      <c r="F170" s="37">
        <f t="shared" si="31"/>
        <v>6.17</v>
      </c>
      <c r="G170" s="37">
        <f t="shared" si="32"/>
        <v>3.78</v>
      </c>
      <c r="H170" s="37">
        <f t="shared" si="37"/>
        <v>4.87</v>
      </c>
      <c r="J170" s="12"/>
      <c r="K170" s="13">
        <f t="shared" si="38"/>
        <v>2018</v>
      </c>
      <c r="L170" s="37">
        <f t="shared" si="39"/>
        <v>4.66</v>
      </c>
      <c r="M170" s="37">
        <f t="shared" si="40"/>
        <v>5.61</v>
      </c>
      <c r="N170" s="37">
        <f t="shared" si="41"/>
        <v>7.06</v>
      </c>
      <c r="O170" s="37">
        <f t="shared" si="42"/>
        <v>6.17</v>
      </c>
      <c r="P170" s="37">
        <f t="shared" si="43"/>
        <v>3.78</v>
      </c>
      <c r="Q170" s="37">
        <f t="shared" si="44"/>
        <v>4.87</v>
      </c>
    </row>
    <row r="171" spans="1:17">
      <c r="A171" s="12"/>
      <c r="B171" s="13">
        <f t="shared" si="30"/>
        <v>2019</v>
      </c>
      <c r="C171" s="37">
        <f t="shared" si="34"/>
        <v>4.66</v>
      </c>
      <c r="D171" s="39">
        <f t="shared" si="35"/>
        <v>5.61</v>
      </c>
      <c r="E171" s="37">
        <f t="shared" si="36"/>
        <v>7.06</v>
      </c>
      <c r="F171" s="37">
        <f t="shared" si="31"/>
        <v>6.17</v>
      </c>
      <c r="G171" s="37">
        <f t="shared" si="32"/>
        <v>3.78</v>
      </c>
      <c r="H171" s="37">
        <f t="shared" si="37"/>
        <v>4.87</v>
      </c>
      <c r="J171" s="12"/>
      <c r="K171" s="13">
        <f t="shared" si="38"/>
        <v>2019</v>
      </c>
      <c r="L171" s="37">
        <f t="shared" si="39"/>
        <v>4.66</v>
      </c>
      <c r="M171" s="37">
        <f t="shared" si="40"/>
        <v>5.61</v>
      </c>
      <c r="N171" s="37">
        <f t="shared" si="41"/>
        <v>7.06</v>
      </c>
      <c r="O171" s="37">
        <f t="shared" si="42"/>
        <v>6.17</v>
      </c>
      <c r="P171" s="37">
        <f t="shared" si="43"/>
        <v>3.78</v>
      </c>
      <c r="Q171" s="37">
        <f t="shared" si="44"/>
        <v>4.87</v>
      </c>
    </row>
    <row r="172" spans="1:17">
      <c r="A172" s="12"/>
      <c r="B172" s="13">
        <f t="shared" si="30"/>
        <v>2020</v>
      </c>
      <c r="C172" s="37">
        <f t="shared" si="34"/>
        <v>4.66</v>
      </c>
      <c r="D172" s="39">
        <f t="shared" si="35"/>
        <v>5.61</v>
      </c>
      <c r="E172" s="37">
        <f t="shared" si="36"/>
        <v>7.06</v>
      </c>
      <c r="F172" s="37">
        <f t="shared" si="31"/>
        <v>6.17</v>
      </c>
      <c r="G172" s="37">
        <f t="shared" si="32"/>
        <v>3.78</v>
      </c>
      <c r="H172" s="37">
        <f t="shared" si="37"/>
        <v>4.87</v>
      </c>
      <c r="J172" s="12"/>
      <c r="K172" s="13">
        <f t="shared" si="38"/>
        <v>2020</v>
      </c>
      <c r="L172" s="37">
        <f t="shared" si="39"/>
        <v>4.66</v>
      </c>
      <c r="M172" s="37">
        <f t="shared" si="40"/>
        <v>5.61</v>
      </c>
      <c r="N172" s="37">
        <f t="shared" si="41"/>
        <v>7.06</v>
      </c>
      <c r="O172" s="37">
        <f t="shared" si="42"/>
        <v>6.17</v>
      </c>
      <c r="P172" s="37">
        <f t="shared" si="43"/>
        <v>3.78</v>
      </c>
      <c r="Q172" s="37">
        <f t="shared" si="44"/>
        <v>4.87</v>
      </c>
    </row>
    <row r="173" spans="1:17">
      <c r="A173" s="12"/>
      <c r="B173" s="13">
        <f t="shared" si="30"/>
        <v>2021</v>
      </c>
      <c r="C173" s="37">
        <f t="shared" si="34"/>
        <v>4.66</v>
      </c>
      <c r="D173" s="39">
        <f t="shared" si="35"/>
        <v>5.61</v>
      </c>
      <c r="E173" s="37">
        <f t="shared" si="36"/>
        <v>7.06</v>
      </c>
      <c r="F173" s="37">
        <f t="shared" si="31"/>
        <v>6.17</v>
      </c>
      <c r="G173" s="37">
        <f t="shared" si="32"/>
        <v>3.78</v>
      </c>
      <c r="H173" s="37">
        <f t="shared" si="37"/>
        <v>4.87</v>
      </c>
      <c r="J173" s="12"/>
      <c r="K173" s="13">
        <f t="shared" si="38"/>
        <v>2021</v>
      </c>
      <c r="L173" s="37">
        <f t="shared" si="39"/>
        <v>4.66</v>
      </c>
      <c r="M173" s="37">
        <f t="shared" si="40"/>
        <v>5.61</v>
      </c>
      <c r="N173" s="37">
        <f t="shared" si="41"/>
        <v>7.06</v>
      </c>
      <c r="O173" s="37">
        <f t="shared" si="42"/>
        <v>6.17</v>
      </c>
      <c r="P173" s="37">
        <f t="shared" si="43"/>
        <v>3.78</v>
      </c>
      <c r="Q173" s="37">
        <f t="shared" si="44"/>
        <v>4.87</v>
      </c>
    </row>
    <row r="174" spans="1:17">
      <c r="A174" s="12"/>
      <c r="B174" s="13">
        <f t="shared" si="30"/>
        <v>2022</v>
      </c>
      <c r="C174" s="37">
        <f t="shared" si="34"/>
        <v>4.66</v>
      </c>
      <c r="D174" s="39">
        <f t="shared" si="35"/>
        <v>5.61</v>
      </c>
      <c r="E174" s="37">
        <f t="shared" si="36"/>
        <v>7.06</v>
      </c>
      <c r="F174" s="37">
        <f t="shared" si="31"/>
        <v>6.17</v>
      </c>
      <c r="G174" s="37">
        <f t="shared" si="32"/>
        <v>3.78</v>
      </c>
      <c r="H174" s="37">
        <f t="shared" si="37"/>
        <v>4.87</v>
      </c>
      <c r="J174" s="12"/>
      <c r="K174" s="13">
        <f t="shared" si="38"/>
        <v>2022</v>
      </c>
      <c r="L174" s="37">
        <f t="shared" si="39"/>
        <v>4.66</v>
      </c>
      <c r="M174" s="37">
        <f t="shared" si="40"/>
        <v>5.61</v>
      </c>
      <c r="N174" s="37">
        <f t="shared" si="41"/>
        <v>7.06</v>
      </c>
      <c r="O174" s="37">
        <f t="shared" si="42"/>
        <v>6.17</v>
      </c>
      <c r="P174" s="37">
        <f t="shared" si="43"/>
        <v>3.78</v>
      </c>
      <c r="Q174" s="37">
        <f t="shared" si="44"/>
        <v>4.87</v>
      </c>
    </row>
    <row r="175" spans="1:17">
      <c r="A175" s="12"/>
      <c r="B175" s="13">
        <f t="shared" si="30"/>
        <v>2023</v>
      </c>
      <c r="C175" s="37">
        <f t="shared" si="34"/>
        <v>4.66</v>
      </c>
      <c r="D175" s="39">
        <f t="shared" si="35"/>
        <v>5.61</v>
      </c>
      <c r="E175" s="37">
        <f t="shared" si="36"/>
        <v>7.06</v>
      </c>
      <c r="F175" s="37">
        <f t="shared" si="31"/>
        <v>6.17</v>
      </c>
      <c r="G175" s="37">
        <f t="shared" si="32"/>
        <v>3.78</v>
      </c>
      <c r="H175" s="37">
        <f t="shared" si="37"/>
        <v>4.87</v>
      </c>
      <c r="J175" s="12"/>
      <c r="K175" s="13">
        <f t="shared" si="38"/>
        <v>2023</v>
      </c>
      <c r="L175" s="37">
        <f t="shared" si="39"/>
        <v>4.66</v>
      </c>
      <c r="M175" s="37">
        <f t="shared" si="40"/>
        <v>5.61</v>
      </c>
      <c r="N175" s="37">
        <f t="shared" si="41"/>
        <v>7.06</v>
      </c>
      <c r="O175" s="37">
        <f t="shared" si="42"/>
        <v>6.17</v>
      </c>
      <c r="P175" s="37">
        <f t="shared" si="43"/>
        <v>3.78</v>
      </c>
      <c r="Q175" s="37">
        <f t="shared" si="44"/>
        <v>4.87</v>
      </c>
    </row>
    <row r="176" spans="1:17">
      <c r="A176" s="12"/>
      <c r="B176" s="13">
        <f t="shared" si="30"/>
        <v>2024</v>
      </c>
      <c r="C176" s="37">
        <f t="shared" si="34"/>
        <v>4.66</v>
      </c>
      <c r="D176" s="39">
        <f t="shared" si="35"/>
        <v>5.61</v>
      </c>
      <c r="E176" s="37">
        <f t="shared" si="36"/>
        <v>7.06</v>
      </c>
      <c r="F176" s="37">
        <f t="shared" si="31"/>
        <v>6.17</v>
      </c>
      <c r="G176" s="37">
        <f t="shared" si="32"/>
        <v>3.78</v>
      </c>
      <c r="H176" s="37">
        <f t="shared" si="37"/>
        <v>4.87</v>
      </c>
      <c r="J176" s="12"/>
      <c r="K176" s="13">
        <f t="shared" si="38"/>
        <v>2024</v>
      </c>
      <c r="L176" s="37">
        <f t="shared" si="39"/>
        <v>4.66</v>
      </c>
      <c r="M176" s="37">
        <f t="shared" si="40"/>
        <v>5.61</v>
      </c>
      <c r="N176" s="37">
        <f t="shared" si="41"/>
        <v>7.06</v>
      </c>
      <c r="O176" s="37">
        <f t="shared" si="42"/>
        <v>6.17</v>
      </c>
      <c r="P176" s="37">
        <f t="shared" si="43"/>
        <v>3.78</v>
      </c>
      <c r="Q176" s="37">
        <f t="shared" si="44"/>
        <v>4.87</v>
      </c>
    </row>
    <row r="177" spans="1:17">
      <c r="A177" s="12"/>
      <c r="B177" s="13">
        <f t="shared" si="30"/>
        <v>2025</v>
      </c>
      <c r="C177" s="37">
        <f t="shared" si="34"/>
        <v>4.66</v>
      </c>
      <c r="D177" s="39">
        <f t="shared" si="35"/>
        <v>5.61</v>
      </c>
      <c r="E177" s="37">
        <f t="shared" ref="E177:E196" si="45">$G$149</f>
        <v>7.03</v>
      </c>
      <c r="F177" s="37">
        <f t="shared" si="31"/>
        <v>6.17</v>
      </c>
      <c r="G177" s="37">
        <f t="shared" si="32"/>
        <v>3.78</v>
      </c>
      <c r="H177" s="37">
        <f t="shared" si="37"/>
        <v>4.87</v>
      </c>
      <c r="J177" s="12"/>
      <c r="K177" s="13">
        <f t="shared" si="38"/>
        <v>2025</v>
      </c>
      <c r="L177" s="37">
        <f t="shared" si="39"/>
        <v>4.66</v>
      </c>
      <c r="M177" s="37">
        <f t="shared" si="40"/>
        <v>5.61</v>
      </c>
      <c r="N177" s="37">
        <f t="shared" si="41"/>
        <v>7.03</v>
      </c>
      <c r="O177" s="37">
        <f t="shared" si="42"/>
        <v>6.17</v>
      </c>
      <c r="P177" s="37">
        <f t="shared" si="43"/>
        <v>3.78</v>
      </c>
      <c r="Q177" s="37">
        <f t="shared" si="44"/>
        <v>4.87</v>
      </c>
    </row>
    <row r="178" spans="1:17">
      <c r="A178" s="12"/>
      <c r="B178" s="13">
        <f t="shared" si="30"/>
        <v>2026</v>
      </c>
      <c r="C178" s="37">
        <f t="shared" si="34"/>
        <v>4.66</v>
      </c>
      <c r="D178" s="39">
        <f t="shared" si="35"/>
        <v>5.61</v>
      </c>
      <c r="E178" s="37">
        <f t="shared" si="45"/>
        <v>7.03</v>
      </c>
      <c r="F178" s="37">
        <f t="shared" si="31"/>
        <v>6.17</v>
      </c>
      <c r="G178" s="37">
        <f t="shared" si="32"/>
        <v>3.78</v>
      </c>
      <c r="H178" s="37">
        <f t="shared" si="37"/>
        <v>4.87</v>
      </c>
      <c r="J178" s="12"/>
      <c r="K178" s="13">
        <f t="shared" si="38"/>
        <v>2026</v>
      </c>
      <c r="L178" s="37">
        <f t="shared" si="39"/>
        <v>4.66</v>
      </c>
      <c r="M178" s="37">
        <f t="shared" si="40"/>
        <v>5.61</v>
      </c>
      <c r="N178" s="37">
        <f t="shared" si="41"/>
        <v>7.03</v>
      </c>
      <c r="O178" s="37">
        <f t="shared" si="42"/>
        <v>6.17</v>
      </c>
      <c r="P178" s="37">
        <f t="shared" si="43"/>
        <v>3.78</v>
      </c>
      <c r="Q178" s="37">
        <f t="shared" si="44"/>
        <v>4.87</v>
      </c>
    </row>
    <row r="179" spans="1:17">
      <c r="A179" s="12"/>
      <c r="B179" s="13">
        <f t="shared" si="30"/>
        <v>2027</v>
      </c>
      <c r="C179" s="37">
        <f t="shared" si="34"/>
        <v>4.66</v>
      </c>
      <c r="D179" s="39">
        <f t="shared" si="35"/>
        <v>5.61</v>
      </c>
      <c r="E179" s="37">
        <f t="shared" si="45"/>
        <v>7.03</v>
      </c>
      <c r="F179" s="37">
        <f t="shared" si="31"/>
        <v>6.17</v>
      </c>
      <c r="G179" s="37">
        <f t="shared" si="32"/>
        <v>3.78</v>
      </c>
      <c r="H179" s="37">
        <f t="shared" si="37"/>
        <v>4.87</v>
      </c>
      <c r="J179" s="12"/>
      <c r="K179" s="13">
        <f t="shared" si="38"/>
        <v>2027</v>
      </c>
      <c r="L179" s="37">
        <f t="shared" si="39"/>
        <v>4.66</v>
      </c>
      <c r="M179" s="37">
        <f t="shared" si="40"/>
        <v>5.61</v>
      </c>
      <c r="N179" s="37">
        <f t="shared" si="41"/>
        <v>7.03</v>
      </c>
      <c r="O179" s="37">
        <f t="shared" si="42"/>
        <v>6.17</v>
      </c>
      <c r="P179" s="37">
        <f t="shared" si="43"/>
        <v>3.78</v>
      </c>
      <c r="Q179" s="37">
        <f t="shared" si="44"/>
        <v>4.87</v>
      </c>
    </row>
    <row r="180" spans="1:17">
      <c r="A180" s="12"/>
      <c r="B180" s="13">
        <f t="shared" si="30"/>
        <v>2028</v>
      </c>
      <c r="C180" s="37">
        <f t="shared" si="34"/>
        <v>4.66</v>
      </c>
      <c r="D180" s="39">
        <f t="shared" si="35"/>
        <v>5.61</v>
      </c>
      <c r="E180" s="37">
        <f t="shared" si="45"/>
        <v>7.03</v>
      </c>
      <c r="F180" s="37">
        <f t="shared" si="31"/>
        <v>6.17</v>
      </c>
      <c r="G180" s="37">
        <f t="shared" si="32"/>
        <v>3.78</v>
      </c>
      <c r="H180" s="37">
        <f t="shared" si="37"/>
        <v>4.87</v>
      </c>
      <c r="J180" s="12"/>
      <c r="K180" s="13">
        <f t="shared" si="38"/>
        <v>2028</v>
      </c>
      <c r="L180" s="37">
        <f t="shared" si="39"/>
        <v>4.66</v>
      </c>
      <c r="M180" s="37">
        <f t="shared" si="40"/>
        <v>5.61</v>
      </c>
      <c r="N180" s="37">
        <f t="shared" si="41"/>
        <v>7.03</v>
      </c>
      <c r="O180" s="37">
        <f t="shared" si="42"/>
        <v>6.17</v>
      </c>
      <c r="P180" s="37">
        <f t="shared" si="43"/>
        <v>3.78</v>
      </c>
      <c r="Q180" s="37">
        <f t="shared" si="44"/>
        <v>4.87</v>
      </c>
    </row>
    <row r="181" spans="1:17">
      <c r="A181" s="12"/>
      <c r="B181" s="13">
        <f t="shared" si="30"/>
        <v>2029</v>
      </c>
      <c r="C181" s="37">
        <f t="shared" si="34"/>
        <v>4.66</v>
      </c>
      <c r="D181" s="39">
        <f t="shared" si="35"/>
        <v>5.61</v>
      </c>
      <c r="E181" s="37">
        <f t="shared" si="45"/>
        <v>7.03</v>
      </c>
      <c r="F181" s="37">
        <f t="shared" si="31"/>
        <v>6.17</v>
      </c>
      <c r="G181" s="37">
        <f t="shared" si="32"/>
        <v>3.78</v>
      </c>
      <c r="H181" s="37">
        <f t="shared" si="37"/>
        <v>4.87</v>
      </c>
      <c r="J181" s="12"/>
      <c r="K181" s="13">
        <f t="shared" si="38"/>
        <v>2029</v>
      </c>
      <c r="L181" s="37">
        <f t="shared" si="39"/>
        <v>4.66</v>
      </c>
      <c r="M181" s="37">
        <f t="shared" si="40"/>
        <v>5.61</v>
      </c>
      <c r="N181" s="37">
        <f t="shared" si="41"/>
        <v>7.03</v>
      </c>
      <c r="O181" s="37">
        <f t="shared" si="42"/>
        <v>6.17</v>
      </c>
      <c r="P181" s="37">
        <f t="shared" si="43"/>
        <v>3.78</v>
      </c>
      <c r="Q181" s="37">
        <f t="shared" si="44"/>
        <v>4.87</v>
      </c>
    </row>
    <row r="182" spans="1:17">
      <c r="A182" s="12"/>
      <c r="B182" s="13">
        <f t="shared" si="30"/>
        <v>2030</v>
      </c>
      <c r="C182" s="37">
        <f t="shared" si="34"/>
        <v>4.66</v>
      </c>
      <c r="D182" s="39">
        <f t="shared" si="35"/>
        <v>5.61</v>
      </c>
      <c r="E182" s="37">
        <f t="shared" si="45"/>
        <v>7.03</v>
      </c>
      <c r="F182" s="37">
        <f t="shared" si="31"/>
        <v>6.17</v>
      </c>
      <c r="G182" s="37">
        <f t="shared" si="32"/>
        <v>3.78</v>
      </c>
      <c r="H182" s="37">
        <f t="shared" si="37"/>
        <v>4.87</v>
      </c>
      <c r="J182" s="12"/>
      <c r="K182" s="13">
        <f t="shared" si="38"/>
        <v>2030</v>
      </c>
      <c r="L182" s="37">
        <f t="shared" si="39"/>
        <v>4.66</v>
      </c>
      <c r="M182" s="37">
        <f t="shared" si="40"/>
        <v>5.61</v>
      </c>
      <c r="N182" s="37">
        <f t="shared" si="41"/>
        <v>7.03</v>
      </c>
      <c r="O182" s="37">
        <f t="shared" si="42"/>
        <v>6.17</v>
      </c>
      <c r="P182" s="37">
        <f t="shared" si="43"/>
        <v>3.78</v>
      </c>
      <c r="Q182" s="37">
        <f t="shared" si="44"/>
        <v>4.87</v>
      </c>
    </row>
    <row r="183" spans="1:17">
      <c r="A183" s="12"/>
      <c r="B183" s="13">
        <f t="shared" si="30"/>
        <v>2031</v>
      </c>
      <c r="C183" s="37">
        <f t="shared" si="34"/>
        <v>4.66</v>
      </c>
      <c r="D183" s="39">
        <f t="shared" si="35"/>
        <v>5.61</v>
      </c>
      <c r="E183" s="37">
        <f t="shared" si="45"/>
        <v>7.03</v>
      </c>
      <c r="F183" s="37">
        <f t="shared" si="31"/>
        <v>6.17</v>
      </c>
      <c r="G183" s="37">
        <f t="shared" si="32"/>
        <v>3.78</v>
      </c>
      <c r="H183" s="37">
        <f t="shared" si="37"/>
        <v>4.87</v>
      </c>
      <c r="J183" s="12"/>
      <c r="K183" s="13">
        <f t="shared" si="38"/>
        <v>2031</v>
      </c>
      <c r="L183" s="37">
        <f t="shared" si="39"/>
        <v>4.66</v>
      </c>
      <c r="M183" s="37">
        <f t="shared" si="40"/>
        <v>5.61</v>
      </c>
      <c r="N183" s="37">
        <f t="shared" si="41"/>
        <v>7.03</v>
      </c>
      <c r="O183" s="37">
        <f t="shared" si="42"/>
        <v>6.17</v>
      </c>
      <c r="P183" s="37">
        <f t="shared" si="43"/>
        <v>3.78</v>
      </c>
      <c r="Q183" s="37">
        <f t="shared" si="44"/>
        <v>4.87</v>
      </c>
    </row>
    <row r="184" spans="1:17">
      <c r="A184" s="12"/>
      <c r="B184" s="13">
        <f t="shared" si="30"/>
        <v>2032</v>
      </c>
      <c r="C184" s="37">
        <f t="shared" si="34"/>
        <v>4.66</v>
      </c>
      <c r="D184" s="39">
        <f t="shared" si="35"/>
        <v>5.61</v>
      </c>
      <c r="E184" s="37">
        <f t="shared" si="45"/>
        <v>7.03</v>
      </c>
      <c r="F184" s="37">
        <f t="shared" si="31"/>
        <v>6.17</v>
      </c>
      <c r="G184" s="37">
        <f t="shared" si="32"/>
        <v>3.78</v>
      </c>
      <c r="H184" s="37">
        <f t="shared" si="37"/>
        <v>4.87</v>
      </c>
      <c r="J184" s="12"/>
      <c r="K184" s="13">
        <f t="shared" si="38"/>
        <v>2032</v>
      </c>
      <c r="L184" s="37">
        <f t="shared" si="39"/>
        <v>4.66</v>
      </c>
      <c r="M184" s="37">
        <f t="shared" si="40"/>
        <v>5.61</v>
      </c>
      <c r="N184" s="37">
        <f t="shared" si="41"/>
        <v>7.03</v>
      </c>
      <c r="O184" s="37">
        <f t="shared" si="42"/>
        <v>6.17</v>
      </c>
      <c r="P184" s="37">
        <f t="shared" si="43"/>
        <v>3.78</v>
      </c>
      <c r="Q184" s="37">
        <f t="shared" si="44"/>
        <v>4.87</v>
      </c>
    </row>
    <row r="185" spans="1:17">
      <c r="A185" s="12"/>
      <c r="B185" s="13">
        <f t="shared" si="30"/>
        <v>2033</v>
      </c>
      <c r="C185" s="37">
        <f t="shared" si="34"/>
        <v>4.66</v>
      </c>
      <c r="D185" s="39">
        <f t="shared" si="35"/>
        <v>5.61</v>
      </c>
      <c r="E185" s="37">
        <f t="shared" si="45"/>
        <v>7.03</v>
      </c>
      <c r="F185" s="37">
        <f t="shared" si="31"/>
        <v>6.17</v>
      </c>
      <c r="G185" s="37">
        <f t="shared" si="32"/>
        <v>3.78</v>
      </c>
      <c r="H185" s="37">
        <f t="shared" si="37"/>
        <v>4.87</v>
      </c>
      <c r="J185" s="12"/>
      <c r="K185" s="13">
        <f t="shared" si="38"/>
        <v>2033</v>
      </c>
      <c r="L185" s="37">
        <f t="shared" si="39"/>
        <v>4.66</v>
      </c>
      <c r="M185" s="37">
        <f t="shared" si="40"/>
        <v>5.61</v>
      </c>
      <c r="N185" s="37">
        <f t="shared" si="41"/>
        <v>7.03</v>
      </c>
      <c r="O185" s="37">
        <f t="shared" si="42"/>
        <v>6.17</v>
      </c>
      <c r="P185" s="37">
        <f t="shared" si="43"/>
        <v>3.78</v>
      </c>
      <c r="Q185" s="37">
        <f t="shared" si="44"/>
        <v>4.87</v>
      </c>
    </row>
    <row r="186" spans="1:17">
      <c r="A186" s="12"/>
      <c r="B186" s="13">
        <f t="shared" si="30"/>
        <v>2034</v>
      </c>
      <c r="C186" s="37">
        <f t="shared" si="34"/>
        <v>4.66</v>
      </c>
      <c r="D186" s="39">
        <f t="shared" si="35"/>
        <v>5.61</v>
      </c>
      <c r="E186" s="37">
        <f t="shared" si="45"/>
        <v>7.03</v>
      </c>
      <c r="F186" s="37">
        <f t="shared" si="31"/>
        <v>6.17</v>
      </c>
      <c r="G186" s="37">
        <f t="shared" si="32"/>
        <v>3.78</v>
      </c>
      <c r="H186" s="37">
        <f t="shared" si="37"/>
        <v>4.87</v>
      </c>
      <c r="J186" s="12"/>
      <c r="K186" s="13">
        <f t="shared" si="38"/>
        <v>2034</v>
      </c>
      <c r="L186" s="37">
        <f t="shared" si="39"/>
        <v>4.66</v>
      </c>
      <c r="M186" s="37">
        <f t="shared" si="40"/>
        <v>5.61</v>
      </c>
      <c r="N186" s="37">
        <f t="shared" si="41"/>
        <v>7.03</v>
      </c>
      <c r="O186" s="37">
        <f t="shared" si="42"/>
        <v>6.17</v>
      </c>
      <c r="P186" s="37">
        <f t="shared" si="43"/>
        <v>3.78</v>
      </c>
      <c r="Q186" s="37">
        <f t="shared" si="44"/>
        <v>4.87</v>
      </c>
    </row>
    <row r="187" spans="1:17">
      <c r="A187" s="12"/>
      <c r="B187" s="13">
        <f t="shared" si="30"/>
        <v>2035</v>
      </c>
      <c r="C187" s="37">
        <f t="shared" si="34"/>
        <v>4.66</v>
      </c>
      <c r="D187" s="39">
        <f t="shared" si="35"/>
        <v>5.61</v>
      </c>
      <c r="E187" s="37">
        <f t="shared" si="45"/>
        <v>7.03</v>
      </c>
      <c r="F187" s="37">
        <f t="shared" si="31"/>
        <v>6.17</v>
      </c>
      <c r="G187" s="37">
        <f t="shared" si="32"/>
        <v>3.78</v>
      </c>
      <c r="H187" s="37">
        <f t="shared" si="37"/>
        <v>4.87</v>
      </c>
      <c r="J187" s="12"/>
      <c r="K187" s="13">
        <f t="shared" si="38"/>
        <v>2035</v>
      </c>
      <c r="L187" s="37">
        <f t="shared" si="39"/>
        <v>4.66</v>
      </c>
      <c r="M187" s="37">
        <f t="shared" si="40"/>
        <v>5.61</v>
      </c>
      <c r="N187" s="37">
        <f t="shared" si="41"/>
        <v>7.03</v>
      </c>
      <c r="O187" s="37">
        <f t="shared" si="42"/>
        <v>6.17</v>
      </c>
      <c r="P187" s="37">
        <f t="shared" si="43"/>
        <v>3.78</v>
      </c>
      <c r="Q187" s="37">
        <f t="shared" si="44"/>
        <v>4.87</v>
      </c>
    </row>
    <row r="188" spans="1:17">
      <c r="A188" s="12"/>
      <c r="B188" s="13">
        <f t="shared" si="30"/>
        <v>2036</v>
      </c>
      <c r="C188" s="37">
        <f t="shared" si="34"/>
        <v>4.66</v>
      </c>
      <c r="D188" s="39">
        <f t="shared" si="35"/>
        <v>5.61</v>
      </c>
      <c r="E188" s="37">
        <f t="shared" si="45"/>
        <v>7.03</v>
      </c>
      <c r="F188" s="37">
        <f t="shared" si="31"/>
        <v>6.17</v>
      </c>
      <c r="G188" s="37">
        <f t="shared" si="32"/>
        <v>3.78</v>
      </c>
      <c r="H188" s="37">
        <f t="shared" si="37"/>
        <v>4.87</v>
      </c>
      <c r="J188" s="12"/>
      <c r="K188" s="13">
        <f t="shared" si="38"/>
        <v>2036</v>
      </c>
      <c r="L188" s="37">
        <f t="shared" si="39"/>
        <v>4.66</v>
      </c>
      <c r="M188" s="37">
        <f t="shared" si="40"/>
        <v>5.61</v>
      </c>
      <c r="N188" s="37">
        <f t="shared" si="41"/>
        <v>7.03</v>
      </c>
      <c r="O188" s="37">
        <f t="shared" si="42"/>
        <v>6.17</v>
      </c>
      <c r="P188" s="37">
        <f t="shared" si="43"/>
        <v>3.78</v>
      </c>
      <c r="Q188" s="37">
        <f t="shared" si="44"/>
        <v>4.87</v>
      </c>
    </row>
    <row r="189" spans="1:17">
      <c r="A189" s="12"/>
      <c r="B189" s="13">
        <f t="shared" si="30"/>
        <v>2037</v>
      </c>
      <c r="C189" s="37">
        <f t="shared" si="34"/>
        <v>4.66</v>
      </c>
      <c r="D189" s="39">
        <f t="shared" si="35"/>
        <v>5.61</v>
      </c>
      <c r="E189" s="37">
        <f t="shared" si="45"/>
        <v>7.03</v>
      </c>
      <c r="F189" s="37">
        <f t="shared" si="31"/>
        <v>6.17</v>
      </c>
      <c r="G189" s="37">
        <f t="shared" si="32"/>
        <v>3.78</v>
      </c>
      <c r="H189" s="37">
        <f t="shared" si="37"/>
        <v>4.87</v>
      </c>
      <c r="J189" s="12"/>
      <c r="K189" s="13">
        <f t="shared" si="38"/>
        <v>2037</v>
      </c>
      <c r="L189" s="37">
        <f t="shared" si="39"/>
        <v>4.66</v>
      </c>
      <c r="M189" s="37">
        <f t="shared" si="40"/>
        <v>5.61</v>
      </c>
      <c r="N189" s="37">
        <f t="shared" si="41"/>
        <v>7.03</v>
      </c>
      <c r="O189" s="37">
        <f t="shared" si="42"/>
        <v>6.17</v>
      </c>
      <c r="P189" s="37">
        <f t="shared" si="43"/>
        <v>3.78</v>
      </c>
      <c r="Q189" s="37">
        <f t="shared" si="44"/>
        <v>4.87</v>
      </c>
    </row>
    <row r="190" spans="1:17">
      <c r="A190" s="12"/>
      <c r="B190" s="13">
        <f t="shared" si="30"/>
        <v>2038</v>
      </c>
      <c r="C190" s="37">
        <f t="shared" si="34"/>
        <v>4.66</v>
      </c>
      <c r="D190" s="39">
        <f t="shared" si="35"/>
        <v>5.61</v>
      </c>
      <c r="E190" s="37">
        <f t="shared" si="45"/>
        <v>7.03</v>
      </c>
      <c r="F190" s="37">
        <f t="shared" si="31"/>
        <v>6.17</v>
      </c>
      <c r="G190" s="37">
        <f t="shared" si="32"/>
        <v>3.78</v>
      </c>
      <c r="H190" s="37">
        <f t="shared" si="37"/>
        <v>4.87</v>
      </c>
      <c r="J190" s="12"/>
      <c r="K190" s="13">
        <f t="shared" si="38"/>
        <v>2038</v>
      </c>
      <c r="L190" s="37">
        <f t="shared" si="39"/>
        <v>4.66</v>
      </c>
      <c r="M190" s="37">
        <f t="shared" si="40"/>
        <v>5.61</v>
      </c>
      <c r="N190" s="37">
        <f t="shared" si="41"/>
        <v>7.03</v>
      </c>
      <c r="O190" s="37">
        <f t="shared" si="42"/>
        <v>6.17</v>
      </c>
      <c r="P190" s="37">
        <f t="shared" si="43"/>
        <v>3.78</v>
      </c>
      <c r="Q190" s="37">
        <f t="shared" si="44"/>
        <v>4.87</v>
      </c>
    </row>
    <row r="191" spans="1:17">
      <c r="A191" s="12"/>
      <c r="B191" s="13">
        <f t="shared" si="30"/>
        <v>2039</v>
      </c>
      <c r="C191" s="37">
        <f t="shared" si="34"/>
        <v>4.66</v>
      </c>
      <c r="D191" s="39">
        <f t="shared" si="35"/>
        <v>5.61</v>
      </c>
      <c r="E191" s="37">
        <f t="shared" si="45"/>
        <v>7.03</v>
      </c>
      <c r="F191" s="37">
        <f t="shared" si="31"/>
        <v>6.17</v>
      </c>
      <c r="G191" s="37">
        <f t="shared" si="32"/>
        <v>3.78</v>
      </c>
      <c r="H191" s="37">
        <f t="shared" si="37"/>
        <v>4.87</v>
      </c>
      <c r="J191" s="12"/>
      <c r="K191" s="13">
        <f t="shared" si="38"/>
        <v>2039</v>
      </c>
      <c r="L191" s="37">
        <f t="shared" si="39"/>
        <v>4.66</v>
      </c>
      <c r="M191" s="37">
        <f t="shared" si="40"/>
        <v>5.61</v>
      </c>
      <c r="N191" s="37">
        <f t="shared" si="41"/>
        <v>7.03</v>
      </c>
      <c r="O191" s="37">
        <f t="shared" si="42"/>
        <v>6.17</v>
      </c>
      <c r="P191" s="37">
        <f t="shared" si="43"/>
        <v>3.78</v>
      </c>
      <c r="Q191" s="37">
        <f t="shared" si="44"/>
        <v>4.87</v>
      </c>
    </row>
    <row r="192" spans="1:17">
      <c r="A192" s="12"/>
      <c r="B192" s="13">
        <f t="shared" si="30"/>
        <v>2040</v>
      </c>
      <c r="C192" s="37">
        <f t="shared" si="34"/>
        <v>4.66</v>
      </c>
      <c r="D192" s="39">
        <f t="shared" si="35"/>
        <v>5.61</v>
      </c>
      <c r="E192" s="37">
        <f t="shared" si="45"/>
        <v>7.03</v>
      </c>
      <c r="F192" s="37">
        <f t="shared" si="31"/>
        <v>6.17</v>
      </c>
      <c r="G192" s="37">
        <f t="shared" si="32"/>
        <v>3.78</v>
      </c>
      <c r="H192" s="37">
        <f t="shared" si="37"/>
        <v>4.87</v>
      </c>
      <c r="J192" s="12"/>
      <c r="K192" s="13">
        <f t="shared" si="38"/>
        <v>2040</v>
      </c>
      <c r="L192" s="37">
        <f t="shared" si="39"/>
        <v>4.66</v>
      </c>
      <c r="M192" s="37">
        <f t="shared" si="40"/>
        <v>5.61</v>
      </c>
      <c r="N192" s="37">
        <f t="shared" si="41"/>
        <v>7.03</v>
      </c>
      <c r="O192" s="37">
        <f t="shared" si="42"/>
        <v>6.17</v>
      </c>
      <c r="P192" s="37">
        <f t="shared" si="43"/>
        <v>3.78</v>
      </c>
      <c r="Q192" s="37">
        <f t="shared" si="44"/>
        <v>4.87</v>
      </c>
    </row>
    <row r="193" spans="1:17">
      <c r="A193" s="12"/>
      <c r="B193" s="13">
        <f t="shared" si="30"/>
        <v>2041</v>
      </c>
      <c r="C193" s="37">
        <f t="shared" si="34"/>
        <v>4.66</v>
      </c>
      <c r="D193" s="39">
        <f t="shared" si="35"/>
        <v>5.61</v>
      </c>
      <c r="E193" s="37">
        <f t="shared" si="45"/>
        <v>7.03</v>
      </c>
      <c r="F193" s="37">
        <f t="shared" si="31"/>
        <v>6.17</v>
      </c>
      <c r="G193" s="37">
        <f t="shared" si="32"/>
        <v>3.78</v>
      </c>
      <c r="H193" s="37">
        <f t="shared" si="37"/>
        <v>4.87</v>
      </c>
      <c r="J193" s="12"/>
      <c r="K193" s="13">
        <f t="shared" si="38"/>
        <v>2041</v>
      </c>
      <c r="L193" s="37">
        <f t="shared" si="39"/>
        <v>4.66</v>
      </c>
      <c r="M193" s="37">
        <f t="shared" si="40"/>
        <v>5.61</v>
      </c>
      <c r="N193" s="37">
        <f t="shared" si="41"/>
        <v>7.03</v>
      </c>
      <c r="O193" s="37">
        <f t="shared" si="42"/>
        <v>6.17</v>
      </c>
      <c r="P193" s="37">
        <f t="shared" si="43"/>
        <v>3.78</v>
      </c>
      <c r="Q193" s="37">
        <f t="shared" si="44"/>
        <v>4.87</v>
      </c>
    </row>
    <row r="194" spans="1:17">
      <c r="A194" s="12"/>
      <c r="B194" s="13">
        <f t="shared" si="30"/>
        <v>2042</v>
      </c>
      <c r="C194" s="37">
        <f t="shared" si="34"/>
        <v>4.66</v>
      </c>
      <c r="D194" s="39">
        <f t="shared" si="35"/>
        <v>5.61</v>
      </c>
      <c r="E194" s="37">
        <f t="shared" si="45"/>
        <v>7.03</v>
      </c>
      <c r="F194" s="37">
        <f t="shared" si="31"/>
        <v>6.17</v>
      </c>
      <c r="G194" s="37">
        <f t="shared" si="32"/>
        <v>3.78</v>
      </c>
      <c r="H194" s="37">
        <f t="shared" si="37"/>
        <v>4.87</v>
      </c>
      <c r="J194" s="12"/>
      <c r="K194" s="13">
        <f t="shared" si="38"/>
        <v>2042</v>
      </c>
      <c r="L194" s="37">
        <f t="shared" si="39"/>
        <v>4.66</v>
      </c>
      <c r="M194" s="37">
        <f t="shared" si="40"/>
        <v>5.61</v>
      </c>
      <c r="N194" s="37">
        <f t="shared" si="41"/>
        <v>7.03</v>
      </c>
      <c r="O194" s="37">
        <f t="shared" si="42"/>
        <v>6.17</v>
      </c>
      <c r="P194" s="37">
        <f t="shared" si="43"/>
        <v>3.78</v>
      </c>
      <c r="Q194" s="37">
        <f t="shared" si="44"/>
        <v>4.87</v>
      </c>
    </row>
    <row r="195" spans="1:17">
      <c r="A195" s="12"/>
      <c r="B195" s="13">
        <f t="shared" si="30"/>
        <v>2043</v>
      </c>
      <c r="C195" s="37">
        <f t="shared" si="34"/>
        <v>4.66</v>
      </c>
      <c r="D195" s="39">
        <f t="shared" si="35"/>
        <v>5.61</v>
      </c>
      <c r="E195" s="37">
        <f t="shared" si="45"/>
        <v>7.03</v>
      </c>
      <c r="F195" s="37">
        <f t="shared" si="31"/>
        <v>6.17</v>
      </c>
      <c r="G195" s="37">
        <f t="shared" si="32"/>
        <v>3.78</v>
      </c>
      <c r="H195" s="37">
        <f t="shared" si="37"/>
        <v>4.87</v>
      </c>
      <c r="J195" s="12"/>
      <c r="K195" s="13">
        <f t="shared" si="38"/>
        <v>2043</v>
      </c>
      <c r="L195" s="37">
        <f t="shared" si="39"/>
        <v>4.66</v>
      </c>
      <c r="M195" s="37">
        <f t="shared" si="40"/>
        <v>5.61</v>
      </c>
      <c r="N195" s="37">
        <f t="shared" si="41"/>
        <v>7.03</v>
      </c>
      <c r="O195" s="37">
        <f t="shared" si="42"/>
        <v>6.17</v>
      </c>
      <c r="P195" s="37">
        <f t="shared" si="43"/>
        <v>3.78</v>
      </c>
      <c r="Q195" s="37">
        <f t="shared" si="44"/>
        <v>4.87</v>
      </c>
    </row>
    <row r="196" spans="1:17">
      <c r="A196" s="43"/>
      <c r="B196" s="13">
        <f t="shared" si="30"/>
        <v>2044</v>
      </c>
      <c r="C196" s="37">
        <f t="shared" si="34"/>
        <v>4.66</v>
      </c>
      <c r="D196" s="39">
        <f t="shared" si="35"/>
        <v>5.61</v>
      </c>
      <c r="E196" s="37">
        <f t="shared" si="45"/>
        <v>7.03</v>
      </c>
      <c r="F196" s="37">
        <f t="shared" si="31"/>
        <v>6.17</v>
      </c>
      <c r="G196" s="37">
        <f t="shared" si="32"/>
        <v>3.78</v>
      </c>
      <c r="H196" s="37">
        <f t="shared" si="37"/>
        <v>4.87</v>
      </c>
      <c r="J196" s="43"/>
      <c r="K196" s="13">
        <f t="shared" si="38"/>
        <v>2044</v>
      </c>
      <c r="L196" s="37">
        <f t="shared" si="39"/>
        <v>4.66</v>
      </c>
      <c r="M196" s="37">
        <f t="shared" si="40"/>
        <v>5.61</v>
      </c>
      <c r="N196" s="37">
        <f t="shared" si="41"/>
        <v>7.03</v>
      </c>
      <c r="O196" s="37">
        <f t="shared" si="42"/>
        <v>6.17</v>
      </c>
      <c r="P196" s="37">
        <f t="shared" si="43"/>
        <v>3.78</v>
      </c>
      <c r="Q196" s="37">
        <f t="shared" si="44"/>
        <v>4.87</v>
      </c>
    </row>
    <row r="198" spans="1:17" ht="12.75">
      <c r="A198" s="135" t="s">
        <v>36</v>
      </c>
      <c r="B198" s="136"/>
      <c r="C198" s="136"/>
      <c r="D198" s="136"/>
      <c r="E198" s="136"/>
      <c r="F198" s="136"/>
      <c r="G198" s="136"/>
      <c r="H198" s="137"/>
      <c r="J198" s="135" t="s">
        <v>37</v>
      </c>
      <c r="K198" s="136"/>
      <c r="L198" s="136"/>
      <c r="M198" s="136"/>
      <c r="N198" s="136"/>
      <c r="O198" s="136"/>
      <c r="P198" s="136"/>
      <c r="Q198" s="137"/>
    </row>
    <row r="199" spans="1:17">
      <c r="A199" s="134" t="s">
        <v>5</v>
      </c>
      <c r="B199" s="134"/>
      <c r="C199" s="6">
        <v>1</v>
      </c>
      <c r="D199" s="6">
        <v>2</v>
      </c>
      <c r="E199" s="6">
        <v>3</v>
      </c>
      <c r="F199" s="6">
        <v>4</v>
      </c>
      <c r="G199" s="6">
        <v>5</v>
      </c>
      <c r="H199" s="6">
        <v>6</v>
      </c>
      <c r="J199" s="134" t="s">
        <v>5</v>
      </c>
      <c r="K199" s="134"/>
      <c r="L199" s="6">
        <v>1</v>
      </c>
      <c r="M199" s="6">
        <v>2</v>
      </c>
      <c r="N199" s="6">
        <v>3</v>
      </c>
      <c r="O199" s="6">
        <v>4</v>
      </c>
      <c r="P199" s="6">
        <v>5</v>
      </c>
      <c r="Q199" s="6">
        <v>6</v>
      </c>
    </row>
    <row r="200" spans="1:17" ht="31.5">
      <c r="A200" s="134" t="s">
        <v>6</v>
      </c>
      <c r="B200" s="134"/>
      <c r="C200" s="35" t="s">
        <v>289</v>
      </c>
      <c r="D200" s="35" t="s">
        <v>290</v>
      </c>
      <c r="E200" s="35" t="s">
        <v>291</v>
      </c>
      <c r="F200" s="35" t="s">
        <v>292</v>
      </c>
      <c r="G200" s="35" t="s">
        <v>293</v>
      </c>
      <c r="H200" s="35" t="s">
        <v>328</v>
      </c>
      <c r="J200" s="134" t="s">
        <v>6</v>
      </c>
      <c r="K200" s="134"/>
      <c r="L200" s="35" t="s">
        <v>289</v>
      </c>
      <c r="M200" s="35" t="s">
        <v>290</v>
      </c>
      <c r="N200" s="35" t="s">
        <v>291</v>
      </c>
      <c r="O200" s="35" t="s">
        <v>292</v>
      </c>
      <c r="P200" s="35" t="s">
        <v>293</v>
      </c>
      <c r="Q200" s="35" t="s">
        <v>328</v>
      </c>
    </row>
    <row r="201" spans="1:17">
      <c r="A201" s="8"/>
      <c r="B201" s="9" t="s">
        <v>22</v>
      </c>
      <c r="C201" s="36" t="s">
        <v>38</v>
      </c>
      <c r="D201" s="36" t="s">
        <v>38</v>
      </c>
      <c r="E201" s="36" t="s">
        <v>38</v>
      </c>
      <c r="F201" s="36" t="s">
        <v>38</v>
      </c>
      <c r="G201" s="36" t="s">
        <v>38</v>
      </c>
      <c r="H201" s="36" t="s">
        <v>38</v>
      </c>
      <c r="J201" s="8"/>
      <c r="K201" s="9" t="s">
        <v>22</v>
      </c>
      <c r="L201" s="36" t="s">
        <v>38</v>
      </c>
      <c r="M201" s="36" t="s">
        <v>38</v>
      </c>
      <c r="N201" s="36" t="s">
        <v>38</v>
      </c>
      <c r="O201" s="36" t="s">
        <v>38</v>
      </c>
      <c r="P201" s="36" t="s">
        <v>38</v>
      </c>
      <c r="Q201" s="36" t="s">
        <v>38</v>
      </c>
    </row>
    <row r="202" spans="1:17">
      <c r="A202" s="12"/>
      <c r="B202" s="13">
        <f>B166</f>
        <v>2014</v>
      </c>
      <c r="C202" s="37">
        <f t="shared" ref="C202:H211" si="46">C166+C69</f>
        <v>27.2345973494674</v>
      </c>
      <c r="D202" s="39">
        <f t="shared" si="46"/>
        <v>28.118452685692574</v>
      </c>
      <c r="E202" s="37">
        <f t="shared" si="46"/>
        <v>29.568452685692574</v>
      </c>
      <c r="F202" s="37">
        <f t="shared" si="46"/>
        <v>28.678452685692577</v>
      </c>
      <c r="G202" s="37">
        <f t="shared" si="46"/>
        <v>26.288452685692576</v>
      </c>
      <c r="H202" s="37">
        <f t="shared" si="46"/>
        <v>27.444597349467401</v>
      </c>
      <c r="J202" s="12"/>
      <c r="K202" s="13">
        <f t="shared" ref="K202:K232" si="47">B202</f>
        <v>2014</v>
      </c>
      <c r="L202" s="37">
        <f t="shared" ref="L202:Q211" si="48">L166+L69</f>
        <v>27.2345973494674</v>
      </c>
      <c r="M202" s="39">
        <f t="shared" si="48"/>
        <v>28.118452685692574</v>
      </c>
      <c r="N202" s="37">
        <f t="shared" si="48"/>
        <v>29.568452685692574</v>
      </c>
      <c r="O202" s="37">
        <f t="shared" si="48"/>
        <v>28.678452685692577</v>
      </c>
      <c r="P202" s="37">
        <f t="shared" si="48"/>
        <v>26.288452685692576</v>
      </c>
      <c r="Q202" s="37">
        <f t="shared" si="48"/>
        <v>27.444597349467401</v>
      </c>
    </row>
    <row r="203" spans="1:17">
      <c r="A203" s="12"/>
      <c r="B203" s="13">
        <f t="shared" ref="B203:B232" si="49">B167</f>
        <v>2015</v>
      </c>
      <c r="C203" s="37">
        <f t="shared" si="46"/>
        <v>28.25045423019343</v>
      </c>
      <c r="D203" s="39">
        <f t="shared" si="46"/>
        <v>29.131333056548737</v>
      </c>
      <c r="E203" s="37">
        <f t="shared" si="46"/>
        <v>30.581333056548736</v>
      </c>
      <c r="F203" s="37">
        <f t="shared" si="46"/>
        <v>29.691333056548736</v>
      </c>
      <c r="G203" s="37">
        <f t="shared" si="46"/>
        <v>27.301333056548739</v>
      </c>
      <c r="H203" s="37">
        <f t="shared" si="46"/>
        <v>28.460454230193431</v>
      </c>
      <c r="J203" s="12"/>
      <c r="K203" s="13">
        <f t="shared" si="47"/>
        <v>2015</v>
      </c>
      <c r="L203" s="37">
        <f t="shared" si="48"/>
        <v>28.25045423019343</v>
      </c>
      <c r="M203" s="39">
        <f t="shared" si="48"/>
        <v>29.131333056548737</v>
      </c>
      <c r="N203" s="37">
        <f t="shared" si="48"/>
        <v>30.581333056548736</v>
      </c>
      <c r="O203" s="37">
        <f t="shared" si="48"/>
        <v>29.691333056548736</v>
      </c>
      <c r="P203" s="37">
        <f t="shared" si="48"/>
        <v>27.301333056548739</v>
      </c>
      <c r="Q203" s="37">
        <f t="shared" si="48"/>
        <v>28.460454230193431</v>
      </c>
    </row>
    <row r="204" spans="1:17">
      <c r="A204" s="12"/>
      <c r="B204" s="13">
        <f t="shared" si="49"/>
        <v>2016</v>
      </c>
      <c r="C204" s="37">
        <f t="shared" si="46"/>
        <v>29.312024670552134</v>
      </c>
      <c r="D204" s="39">
        <f t="shared" si="46"/>
        <v>30.189793044093427</v>
      </c>
      <c r="E204" s="37">
        <f t="shared" si="46"/>
        <v>31.639793044093427</v>
      </c>
      <c r="F204" s="37">
        <f t="shared" si="46"/>
        <v>30.74979304409343</v>
      </c>
      <c r="G204" s="37">
        <f t="shared" si="46"/>
        <v>28.359793044093429</v>
      </c>
      <c r="H204" s="37">
        <f t="shared" si="46"/>
        <v>29.522024670552135</v>
      </c>
      <c r="J204" s="12"/>
      <c r="K204" s="13">
        <f t="shared" si="47"/>
        <v>2016</v>
      </c>
      <c r="L204" s="37">
        <f t="shared" si="48"/>
        <v>29.312024670552134</v>
      </c>
      <c r="M204" s="39">
        <f t="shared" si="48"/>
        <v>30.189793044093427</v>
      </c>
      <c r="N204" s="37">
        <f t="shared" si="48"/>
        <v>31.639793044093427</v>
      </c>
      <c r="O204" s="37">
        <f t="shared" si="48"/>
        <v>30.74979304409343</v>
      </c>
      <c r="P204" s="37">
        <f t="shared" si="48"/>
        <v>28.359793044093429</v>
      </c>
      <c r="Q204" s="37">
        <f t="shared" si="48"/>
        <v>29.522024670552135</v>
      </c>
    </row>
    <row r="205" spans="1:17">
      <c r="A205" s="12"/>
      <c r="B205" s="13">
        <f t="shared" si="49"/>
        <v>2017</v>
      </c>
      <c r="C205" s="37">
        <f t="shared" si="46"/>
        <v>30.42136578072698</v>
      </c>
      <c r="D205" s="39">
        <f t="shared" si="46"/>
        <v>31.29588373107763</v>
      </c>
      <c r="E205" s="37">
        <f t="shared" si="46"/>
        <v>32.745883731077633</v>
      </c>
      <c r="F205" s="37">
        <f t="shared" si="46"/>
        <v>31.855883731077633</v>
      </c>
      <c r="G205" s="37">
        <f t="shared" si="46"/>
        <v>29.465883731077632</v>
      </c>
      <c r="H205" s="37">
        <f t="shared" si="46"/>
        <v>30.631365780726981</v>
      </c>
      <c r="J205" s="12"/>
      <c r="K205" s="13">
        <f t="shared" si="47"/>
        <v>2017</v>
      </c>
      <c r="L205" s="37">
        <f t="shared" si="48"/>
        <v>30.42136578072698</v>
      </c>
      <c r="M205" s="39">
        <f t="shared" si="48"/>
        <v>31.29588373107763</v>
      </c>
      <c r="N205" s="37">
        <f t="shared" si="48"/>
        <v>32.745883731077633</v>
      </c>
      <c r="O205" s="37">
        <f t="shared" si="48"/>
        <v>31.855883731077633</v>
      </c>
      <c r="P205" s="37">
        <f t="shared" si="48"/>
        <v>29.465883731077632</v>
      </c>
      <c r="Q205" s="37">
        <f t="shared" si="48"/>
        <v>30.631365780726981</v>
      </c>
    </row>
    <row r="206" spans="1:17">
      <c r="A206" s="12"/>
      <c r="B206" s="13">
        <f t="shared" si="49"/>
        <v>2018</v>
      </c>
      <c r="C206" s="37">
        <f t="shared" si="46"/>
        <v>31.580627240859691</v>
      </c>
      <c r="D206" s="39">
        <f t="shared" si="46"/>
        <v>32.451748498976123</v>
      </c>
      <c r="E206" s="37">
        <f t="shared" si="46"/>
        <v>33.901748498976126</v>
      </c>
      <c r="F206" s="37">
        <f t="shared" si="46"/>
        <v>33.011748498976125</v>
      </c>
      <c r="G206" s="37">
        <f t="shared" si="46"/>
        <v>30.621748498976125</v>
      </c>
      <c r="H206" s="37">
        <f t="shared" si="46"/>
        <v>31.790627240859692</v>
      </c>
      <c r="J206" s="12"/>
      <c r="K206" s="13">
        <f t="shared" si="47"/>
        <v>2018</v>
      </c>
      <c r="L206" s="37">
        <f t="shared" si="48"/>
        <v>31.580627240859691</v>
      </c>
      <c r="M206" s="39">
        <f t="shared" si="48"/>
        <v>32.451748498976123</v>
      </c>
      <c r="N206" s="37">
        <f t="shared" si="48"/>
        <v>33.901748498976126</v>
      </c>
      <c r="O206" s="37">
        <f t="shared" si="48"/>
        <v>33.011748498976125</v>
      </c>
      <c r="P206" s="37">
        <f t="shared" si="48"/>
        <v>30.621748498976125</v>
      </c>
      <c r="Q206" s="37">
        <f t="shared" si="48"/>
        <v>31.790627240859692</v>
      </c>
    </row>
    <row r="207" spans="1:17">
      <c r="A207" s="12"/>
      <c r="B207" s="13">
        <f t="shared" si="49"/>
        <v>2019</v>
      </c>
      <c r="C207" s="37">
        <f t="shared" si="46"/>
        <v>32.792055466698372</v>
      </c>
      <c r="D207" s="39">
        <f t="shared" si="46"/>
        <v>33.659627181430047</v>
      </c>
      <c r="E207" s="37">
        <f t="shared" si="46"/>
        <v>35.109627181430049</v>
      </c>
      <c r="F207" s="37">
        <f t="shared" si="46"/>
        <v>34.219627181430049</v>
      </c>
      <c r="G207" s="37">
        <f t="shared" si="46"/>
        <v>31.829627181430048</v>
      </c>
      <c r="H207" s="37">
        <f t="shared" si="46"/>
        <v>33.002055466698373</v>
      </c>
      <c r="J207" s="12"/>
      <c r="K207" s="13">
        <f t="shared" si="47"/>
        <v>2019</v>
      </c>
      <c r="L207" s="37">
        <f t="shared" si="48"/>
        <v>32.792055466698372</v>
      </c>
      <c r="M207" s="39">
        <f t="shared" si="48"/>
        <v>33.659627181430047</v>
      </c>
      <c r="N207" s="37">
        <f t="shared" si="48"/>
        <v>35.109627181430049</v>
      </c>
      <c r="O207" s="37">
        <f t="shared" si="48"/>
        <v>34.219627181430049</v>
      </c>
      <c r="P207" s="37">
        <f t="shared" si="48"/>
        <v>31.829627181430048</v>
      </c>
      <c r="Q207" s="37">
        <f t="shared" si="48"/>
        <v>33.002055466698373</v>
      </c>
    </row>
    <row r="208" spans="1:17">
      <c r="A208" s="12"/>
      <c r="B208" s="13">
        <f t="shared" si="49"/>
        <v>2020</v>
      </c>
      <c r="C208" s="37">
        <f t="shared" si="46"/>
        <v>34.057997962699801</v>
      </c>
      <c r="D208" s="39">
        <f t="shared" si="46"/>
        <v>34.921860404594398</v>
      </c>
      <c r="E208" s="37">
        <f t="shared" si="46"/>
        <v>36.371860404594401</v>
      </c>
      <c r="F208" s="37">
        <f t="shared" si="46"/>
        <v>35.4818604045944</v>
      </c>
      <c r="G208" s="37">
        <f t="shared" si="46"/>
        <v>33.091860404594399</v>
      </c>
      <c r="H208" s="37">
        <f t="shared" si="46"/>
        <v>34.267997962699802</v>
      </c>
      <c r="J208" s="12"/>
      <c r="K208" s="13">
        <f t="shared" si="47"/>
        <v>2020</v>
      </c>
      <c r="L208" s="37">
        <f t="shared" si="48"/>
        <v>34.057997962699801</v>
      </c>
      <c r="M208" s="39">
        <f t="shared" si="48"/>
        <v>34.921860404594398</v>
      </c>
      <c r="N208" s="37">
        <f t="shared" si="48"/>
        <v>36.371860404594401</v>
      </c>
      <c r="O208" s="37">
        <f t="shared" si="48"/>
        <v>35.4818604045944</v>
      </c>
      <c r="P208" s="37">
        <f t="shared" si="48"/>
        <v>33.091860404594399</v>
      </c>
      <c r="Q208" s="37">
        <f t="shared" si="48"/>
        <v>34.267997962699802</v>
      </c>
    </row>
    <row r="209" spans="1:17">
      <c r="A209" s="12"/>
      <c r="B209" s="13">
        <f t="shared" si="49"/>
        <v>2021</v>
      </c>
      <c r="C209" s="37">
        <f t="shared" si="46"/>
        <v>34.792947911767293</v>
      </c>
      <c r="D209" s="39">
        <f t="shared" si="46"/>
        <v>35.654656914709257</v>
      </c>
      <c r="E209" s="37">
        <f t="shared" si="46"/>
        <v>37.104656914709253</v>
      </c>
      <c r="F209" s="37">
        <f t="shared" si="46"/>
        <v>36.214656914709252</v>
      </c>
      <c r="G209" s="37">
        <f t="shared" si="46"/>
        <v>33.824656914709252</v>
      </c>
      <c r="H209" s="37">
        <f t="shared" si="46"/>
        <v>35.002947911767293</v>
      </c>
      <c r="J209" s="12"/>
      <c r="K209" s="13">
        <f t="shared" si="47"/>
        <v>2021</v>
      </c>
      <c r="L209" s="37">
        <f t="shared" si="48"/>
        <v>34.792947911767293</v>
      </c>
      <c r="M209" s="39">
        <f t="shared" si="48"/>
        <v>35.654656914709257</v>
      </c>
      <c r="N209" s="37">
        <f t="shared" si="48"/>
        <v>37.104656914709253</v>
      </c>
      <c r="O209" s="37">
        <f t="shared" si="48"/>
        <v>36.214656914709252</v>
      </c>
      <c r="P209" s="37">
        <f t="shared" si="48"/>
        <v>33.824656914709252</v>
      </c>
      <c r="Q209" s="37">
        <f t="shared" si="48"/>
        <v>35.002947911767293</v>
      </c>
    </row>
    <row r="210" spans="1:17">
      <c r="A210" s="12"/>
      <c r="B210" s="13">
        <f t="shared" si="49"/>
        <v>2022</v>
      </c>
      <c r="C210" s="37">
        <f t="shared" si="46"/>
        <v>35.546271609561472</v>
      </c>
      <c r="D210" s="39">
        <f t="shared" si="46"/>
        <v>36.405773337576981</v>
      </c>
      <c r="E210" s="37">
        <f t="shared" si="46"/>
        <v>37.855773337576984</v>
      </c>
      <c r="F210" s="37">
        <f t="shared" si="46"/>
        <v>36.965773337576984</v>
      </c>
      <c r="G210" s="37">
        <f t="shared" si="46"/>
        <v>34.575773337576983</v>
      </c>
      <c r="H210" s="37">
        <f t="shared" si="46"/>
        <v>35.756271609561473</v>
      </c>
      <c r="J210" s="12"/>
      <c r="K210" s="13">
        <f t="shared" si="47"/>
        <v>2022</v>
      </c>
      <c r="L210" s="37">
        <f t="shared" si="48"/>
        <v>35.546271609561472</v>
      </c>
      <c r="M210" s="39">
        <f t="shared" si="48"/>
        <v>36.405773337576981</v>
      </c>
      <c r="N210" s="37">
        <f t="shared" si="48"/>
        <v>37.855773337576984</v>
      </c>
      <c r="O210" s="37">
        <f t="shared" si="48"/>
        <v>36.965773337576984</v>
      </c>
      <c r="P210" s="37">
        <f t="shared" si="48"/>
        <v>34.575773337576983</v>
      </c>
      <c r="Q210" s="37">
        <f t="shared" si="48"/>
        <v>35.756271609561473</v>
      </c>
    </row>
    <row r="211" spans="1:17">
      <c r="A211" s="12"/>
      <c r="B211" s="13">
        <f t="shared" si="49"/>
        <v>2023</v>
      </c>
      <c r="C211" s="37">
        <f t="shared" si="46"/>
        <v>36.31842839980051</v>
      </c>
      <c r="D211" s="39">
        <f t="shared" si="46"/>
        <v>37.175667671016406</v>
      </c>
      <c r="E211" s="37">
        <f t="shared" si="46"/>
        <v>38.625667671016402</v>
      </c>
      <c r="F211" s="37">
        <f t="shared" si="46"/>
        <v>37.735667671016401</v>
      </c>
      <c r="G211" s="37">
        <f t="shared" si="46"/>
        <v>35.3456676710164</v>
      </c>
      <c r="H211" s="37">
        <f t="shared" si="46"/>
        <v>36.528428399800504</v>
      </c>
      <c r="J211" s="12"/>
      <c r="K211" s="13">
        <f t="shared" si="47"/>
        <v>2023</v>
      </c>
      <c r="L211" s="37">
        <f t="shared" si="48"/>
        <v>36.31842839980051</v>
      </c>
      <c r="M211" s="39">
        <f t="shared" si="48"/>
        <v>37.175667671016406</v>
      </c>
      <c r="N211" s="37">
        <f t="shared" si="48"/>
        <v>38.625667671016402</v>
      </c>
      <c r="O211" s="37">
        <f t="shared" si="48"/>
        <v>37.735667671016401</v>
      </c>
      <c r="P211" s="37">
        <f t="shared" si="48"/>
        <v>35.3456676710164</v>
      </c>
      <c r="Q211" s="37">
        <f t="shared" si="48"/>
        <v>36.528428399800504</v>
      </c>
    </row>
    <row r="212" spans="1:17">
      <c r="A212" s="12"/>
      <c r="B212" s="13">
        <f t="shared" si="49"/>
        <v>2024</v>
      </c>
      <c r="C212" s="37">
        <f t="shared" ref="C212:H221" si="50">C176+C79</f>
        <v>37.109889109795517</v>
      </c>
      <c r="D212" s="39">
        <f t="shared" si="50"/>
        <v>37.964809362791812</v>
      </c>
      <c r="E212" s="37">
        <f t="shared" si="50"/>
        <v>39.414809362791814</v>
      </c>
      <c r="F212" s="37">
        <f t="shared" si="50"/>
        <v>38.524809362791814</v>
      </c>
      <c r="G212" s="37">
        <f t="shared" si="50"/>
        <v>36.134809362791813</v>
      </c>
      <c r="H212" s="37">
        <f t="shared" si="50"/>
        <v>37.319889109795511</v>
      </c>
      <c r="J212" s="12"/>
      <c r="K212" s="13">
        <f t="shared" si="47"/>
        <v>2024</v>
      </c>
      <c r="L212" s="37">
        <f t="shared" ref="L212:Q221" si="51">L176+L79</f>
        <v>37.109889109795517</v>
      </c>
      <c r="M212" s="39">
        <f t="shared" si="51"/>
        <v>37.964809362791812</v>
      </c>
      <c r="N212" s="37">
        <f t="shared" si="51"/>
        <v>39.414809362791814</v>
      </c>
      <c r="O212" s="37">
        <f t="shared" si="51"/>
        <v>38.524809362791814</v>
      </c>
      <c r="P212" s="37">
        <f t="shared" si="51"/>
        <v>36.134809362791813</v>
      </c>
      <c r="Q212" s="37">
        <f t="shared" si="51"/>
        <v>37.319889109795511</v>
      </c>
    </row>
    <row r="213" spans="1:17">
      <c r="A213" s="12"/>
      <c r="B213" s="13">
        <f t="shared" si="49"/>
        <v>2025</v>
      </c>
      <c r="C213" s="37">
        <f t="shared" si="50"/>
        <v>37.921136337540403</v>
      </c>
      <c r="D213" s="39">
        <f t="shared" si="50"/>
        <v>38.773679596861605</v>
      </c>
      <c r="E213" s="37">
        <f t="shared" si="50"/>
        <v>40.193679596861607</v>
      </c>
      <c r="F213" s="37">
        <f t="shared" si="50"/>
        <v>39.333679596861607</v>
      </c>
      <c r="G213" s="37">
        <f t="shared" si="50"/>
        <v>36.943679596861607</v>
      </c>
      <c r="H213" s="37">
        <f t="shared" si="50"/>
        <v>38.131136337540397</v>
      </c>
      <c r="J213" s="12"/>
      <c r="K213" s="13">
        <f t="shared" si="47"/>
        <v>2025</v>
      </c>
      <c r="L213" s="37">
        <f t="shared" si="51"/>
        <v>37.921136337540403</v>
      </c>
      <c r="M213" s="39">
        <f t="shared" si="51"/>
        <v>38.773679596861605</v>
      </c>
      <c r="N213" s="37">
        <f t="shared" si="51"/>
        <v>40.193679596861607</v>
      </c>
      <c r="O213" s="37">
        <f t="shared" si="51"/>
        <v>39.333679596861607</v>
      </c>
      <c r="P213" s="37">
        <f t="shared" si="51"/>
        <v>36.943679596861607</v>
      </c>
      <c r="Q213" s="37">
        <f t="shared" si="51"/>
        <v>38.131136337540397</v>
      </c>
    </row>
    <row r="214" spans="1:17">
      <c r="A214" s="12"/>
      <c r="B214" s="13">
        <f t="shared" si="49"/>
        <v>2026</v>
      </c>
      <c r="C214" s="37">
        <f t="shared" si="50"/>
        <v>38.752664745978905</v>
      </c>
      <c r="D214" s="39">
        <f t="shared" si="50"/>
        <v>39.602771586783142</v>
      </c>
      <c r="E214" s="37">
        <f t="shared" si="50"/>
        <v>41.022771586783144</v>
      </c>
      <c r="F214" s="37">
        <f t="shared" si="50"/>
        <v>40.162771586783144</v>
      </c>
      <c r="G214" s="37">
        <f t="shared" si="50"/>
        <v>37.772771586783144</v>
      </c>
      <c r="H214" s="37">
        <f t="shared" si="50"/>
        <v>38.962664745978906</v>
      </c>
      <c r="J214" s="12"/>
      <c r="K214" s="13">
        <f t="shared" si="47"/>
        <v>2026</v>
      </c>
      <c r="L214" s="37">
        <f t="shared" si="51"/>
        <v>38.752664745978905</v>
      </c>
      <c r="M214" s="39">
        <f t="shared" si="51"/>
        <v>39.602771586783142</v>
      </c>
      <c r="N214" s="37">
        <f t="shared" si="51"/>
        <v>41.022771586783144</v>
      </c>
      <c r="O214" s="37">
        <f t="shared" si="51"/>
        <v>40.162771586783144</v>
      </c>
      <c r="P214" s="37">
        <f t="shared" si="51"/>
        <v>37.772771586783144</v>
      </c>
      <c r="Q214" s="37">
        <f t="shared" si="51"/>
        <v>38.962664745978906</v>
      </c>
    </row>
    <row r="215" spans="1:17">
      <c r="A215" s="12"/>
      <c r="B215" s="13">
        <f t="shared" si="49"/>
        <v>2027</v>
      </c>
      <c r="C215" s="37">
        <f t="shared" si="50"/>
        <v>39.604981364628372</v>
      </c>
      <c r="D215" s="39">
        <f t="shared" si="50"/>
        <v>40.452590876452717</v>
      </c>
      <c r="E215" s="37">
        <f t="shared" si="50"/>
        <v>41.872590876452719</v>
      </c>
      <c r="F215" s="37">
        <f t="shared" si="50"/>
        <v>41.01259087645272</v>
      </c>
      <c r="G215" s="37">
        <f t="shared" si="50"/>
        <v>38.622590876452719</v>
      </c>
      <c r="H215" s="37">
        <f t="shared" si="50"/>
        <v>39.814981364628373</v>
      </c>
      <c r="J215" s="12"/>
      <c r="K215" s="13">
        <f t="shared" si="47"/>
        <v>2027</v>
      </c>
      <c r="L215" s="37">
        <f t="shared" si="51"/>
        <v>39.604981364628372</v>
      </c>
      <c r="M215" s="39">
        <f t="shared" si="51"/>
        <v>40.452590876452717</v>
      </c>
      <c r="N215" s="37">
        <f t="shared" si="51"/>
        <v>41.872590876452719</v>
      </c>
      <c r="O215" s="37">
        <f t="shared" si="51"/>
        <v>41.01259087645272</v>
      </c>
      <c r="P215" s="37">
        <f t="shared" si="51"/>
        <v>38.622590876452719</v>
      </c>
      <c r="Q215" s="37">
        <f t="shared" si="51"/>
        <v>39.814981364628373</v>
      </c>
    </row>
    <row r="216" spans="1:17">
      <c r="A216" s="12"/>
      <c r="B216" s="13">
        <f t="shared" si="49"/>
        <v>2028</v>
      </c>
      <c r="C216" s="37">
        <f t="shared" si="50"/>
        <v>40.478605898744078</v>
      </c>
      <c r="D216" s="39">
        <f t="shared" si="50"/>
        <v>41.323655648364031</v>
      </c>
      <c r="E216" s="37">
        <f t="shared" si="50"/>
        <v>42.743655648364033</v>
      </c>
      <c r="F216" s="37">
        <f t="shared" si="50"/>
        <v>41.883655648364034</v>
      </c>
      <c r="G216" s="37">
        <f t="shared" si="50"/>
        <v>39.493655648364033</v>
      </c>
      <c r="H216" s="37">
        <f t="shared" si="50"/>
        <v>40.688605898744079</v>
      </c>
      <c r="J216" s="12"/>
      <c r="K216" s="13">
        <f t="shared" si="47"/>
        <v>2028</v>
      </c>
      <c r="L216" s="37">
        <f t="shared" si="51"/>
        <v>40.478605898744078</v>
      </c>
      <c r="M216" s="39">
        <f t="shared" si="51"/>
        <v>41.323655648364031</v>
      </c>
      <c r="N216" s="37">
        <f t="shared" si="51"/>
        <v>42.743655648364033</v>
      </c>
      <c r="O216" s="37">
        <f t="shared" si="51"/>
        <v>41.883655648364034</v>
      </c>
      <c r="P216" s="37">
        <f t="shared" si="51"/>
        <v>39.493655648364033</v>
      </c>
      <c r="Q216" s="37">
        <f t="shared" si="51"/>
        <v>40.688605898744079</v>
      </c>
    </row>
    <row r="217" spans="1:17">
      <c r="A217" s="12"/>
      <c r="B217" s="13">
        <f t="shared" si="49"/>
        <v>2029</v>
      </c>
      <c r="C217" s="37">
        <f t="shared" si="50"/>
        <v>41.374071046212677</v>
      </c>
      <c r="D217" s="39">
        <f t="shared" si="50"/>
        <v>42.216497039573127</v>
      </c>
      <c r="E217" s="37">
        <f t="shared" si="50"/>
        <v>43.636497039573129</v>
      </c>
      <c r="F217" s="37">
        <f t="shared" si="50"/>
        <v>42.77649703957313</v>
      </c>
      <c r="G217" s="37">
        <f t="shared" si="50"/>
        <v>40.386497039573129</v>
      </c>
      <c r="H217" s="37">
        <f t="shared" si="50"/>
        <v>41.584071046212678</v>
      </c>
      <c r="J217" s="12"/>
      <c r="K217" s="13">
        <f t="shared" si="47"/>
        <v>2029</v>
      </c>
      <c r="L217" s="37">
        <f t="shared" si="51"/>
        <v>41.374071046212677</v>
      </c>
      <c r="M217" s="39">
        <f t="shared" si="51"/>
        <v>42.216497039573127</v>
      </c>
      <c r="N217" s="37">
        <f t="shared" si="51"/>
        <v>43.636497039573129</v>
      </c>
      <c r="O217" s="37">
        <f t="shared" si="51"/>
        <v>42.77649703957313</v>
      </c>
      <c r="P217" s="37">
        <f t="shared" si="51"/>
        <v>40.386497039573129</v>
      </c>
      <c r="Q217" s="37">
        <f t="shared" si="51"/>
        <v>41.584071046212678</v>
      </c>
    </row>
    <row r="218" spans="1:17">
      <c r="A218" s="12"/>
      <c r="B218" s="13">
        <f t="shared" si="49"/>
        <v>2030</v>
      </c>
      <c r="C218" s="37">
        <f t="shared" si="50"/>
        <v>42.291922822367994</v>
      </c>
      <c r="D218" s="39">
        <f t="shared" si="50"/>
        <v>43.13165946556245</v>
      </c>
      <c r="E218" s="37">
        <f t="shared" si="50"/>
        <v>44.551659465562452</v>
      </c>
      <c r="F218" s="37">
        <f t="shared" si="50"/>
        <v>43.691659465562452</v>
      </c>
      <c r="G218" s="37">
        <f t="shared" si="50"/>
        <v>41.301659465562452</v>
      </c>
      <c r="H218" s="37">
        <f t="shared" si="50"/>
        <v>42.501922822367995</v>
      </c>
      <c r="J218" s="12"/>
      <c r="K218" s="13">
        <f t="shared" si="47"/>
        <v>2030</v>
      </c>
      <c r="L218" s="37">
        <f t="shared" si="51"/>
        <v>42.291922822367994</v>
      </c>
      <c r="M218" s="39">
        <f t="shared" si="51"/>
        <v>43.13165946556245</v>
      </c>
      <c r="N218" s="37">
        <f t="shared" si="51"/>
        <v>44.551659465562452</v>
      </c>
      <c r="O218" s="37">
        <f t="shared" si="51"/>
        <v>43.691659465562452</v>
      </c>
      <c r="P218" s="37">
        <f t="shared" si="51"/>
        <v>41.301659465562452</v>
      </c>
      <c r="Q218" s="37">
        <f t="shared" si="51"/>
        <v>42.501922822367995</v>
      </c>
    </row>
    <row r="219" spans="1:17">
      <c r="A219" s="12"/>
      <c r="B219" s="13">
        <f t="shared" si="49"/>
        <v>2031</v>
      </c>
      <c r="C219" s="37">
        <f t="shared" si="50"/>
        <v>43.23272089292719</v>
      </c>
      <c r="D219" s="39">
        <f t="shared" si="50"/>
        <v>44.069700952201508</v>
      </c>
      <c r="E219" s="37">
        <f t="shared" si="50"/>
        <v>45.48970095220151</v>
      </c>
      <c r="F219" s="37">
        <f t="shared" si="50"/>
        <v>44.62970095220151</v>
      </c>
      <c r="G219" s="37">
        <f t="shared" si="50"/>
        <v>42.23970095220151</v>
      </c>
      <c r="H219" s="37">
        <f t="shared" si="50"/>
        <v>43.442720892927191</v>
      </c>
      <c r="J219" s="12"/>
      <c r="K219" s="13">
        <f t="shared" si="47"/>
        <v>2031</v>
      </c>
      <c r="L219" s="37">
        <f t="shared" si="51"/>
        <v>43.23272089292719</v>
      </c>
      <c r="M219" s="39">
        <f t="shared" si="51"/>
        <v>44.069700952201508</v>
      </c>
      <c r="N219" s="37">
        <f t="shared" si="51"/>
        <v>45.48970095220151</v>
      </c>
      <c r="O219" s="37">
        <f t="shared" si="51"/>
        <v>44.62970095220151</v>
      </c>
      <c r="P219" s="37">
        <f t="shared" si="51"/>
        <v>42.23970095220151</v>
      </c>
      <c r="Q219" s="37">
        <f t="shared" si="51"/>
        <v>43.442720892927191</v>
      </c>
    </row>
    <row r="220" spans="1:17">
      <c r="A220" s="12"/>
      <c r="B220" s="13">
        <f t="shared" si="49"/>
        <v>2032</v>
      </c>
      <c r="C220" s="37">
        <f t="shared" si="50"/>
        <v>44.197038915250374</v>
      </c>
      <c r="D220" s="39">
        <f t="shared" si="50"/>
        <v>45.031193476006543</v>
      </c>
      <c r="E220" s="37">
        <f t="shared" si="50"/>
        <v>46.451193476006544</v>
      </c>
      <c r="F220" s="37">
        <f t="shared" si="50"/>
        <v>45.591193476006545</v>
      </c>
      <c r="G220" s="37">
        <f t="shared" si="50"/>
        <v>43.201193476006544</v>
      </c>
      <c r="H220" s="37">
        <f t="shared" si="50"/>
        <v>44.407038915250368</v>
      </c>
      <c r="J220" s="12"/>
      <c r="K220" s="13">
        <f t="shared" si="47"/>
        <v>2032</v>
      </c>
      <c r="L220" s="37">
        <f t="shared" si="51"/>
        <v>44.197038915250374</v>
      </c>
      <c r="M220" s="39">
        <f t="shared" si="51"/>
        <v>45.031193476006543</v>
      </c>
      <c r="N220" s="37">
        <f t="shared" si="51"/>
        <v>46.451193476006544</v>
      </c>
      <c r="O220" s="37">
        <f t="shared" si="51"/>
        <v>45.591193476006545</v>
      </c>
      <c r="P220" s="37">
        <f t="shared" si="51"/>
        <v>43.201193476006544</v>
      </c>
      <c r="Q220" s="37">
        <f t="shared" si="51"/>
        <v>44.407038915250368</v>
      </c>
    </row>
    <row r="221" spans="1:17">
      <c r="A221" s="12"/>
      <c r="B221" s="13">
        <f t="shared" si="49"/>
        <v>2033</v>
      </c>
      <c r="C221" s="37">
        <f t="shared" si="50"/>
        <v>45.185464888131619</v>
      </c>
      <c r="D221" s="39">
        <f t="shared" si="50"/>
        <v>46.016723312906706</v>
      </c>
      <c r="E221" s="37">
        <f t="shared" si="50"/>
        <v>47.436723312906707</v>
      </c>
      <c r="F221" s="37">
        <f t="shared" si="50"/>
        <v>46.576723312906708</v>
      </c>
      <c r="G221" s="37">
        <f t="shared" si="50"/>
        <v>44.186723312906707</v>
      </c>
      <c r="H221" s="37">
        <f t="shared" si="50"/>
        <v>45.39546488813162</v>
      </c>
      <c r="J221" s="12"/>
      <c r="K221" s="13">
        <f t="shared" si="47"/>
        <v>2033</v>
      </c>
      <c r="L221" s="37">
        <f t="shared" si="51"/>
        <v>45.185464888131619</v>
      </c>
      <c r="M221" s="39">
        <f t="shared" si="51"/>
        <v>46.016723312906706</v>
      </c>
      <c r="N221" s="37">
        <f t="shared" si="51"/>
        <v>47.436723312906707</v>
      </c>
      <c r="O221" s="37">
        <f t="shared" si="51"/>
        <v>46.576723312906708</v>
      </c>
      <c r="P221" s="37">
        <f t="shared" si="51"/>
        <v>44.186723312906707</v>
      </c>
      <c r="Q221" s="37">
        <f t="shared" si="51"/>
        <v>45.39546488813162</v>
      </c>
    </row>
    <row r="222" spans="1:17">
      <c r="A222" s="12"/>
      <c r="B222" s="13">
        <f t="shared" si="49"/>
        <v>2034</v>
      </c>
      <c r="C222" s="37">
        <f t="shared" ref="C222:H231" si="52">C186+C89</f>
        <v>46.19860151033491</v>
      </c>
      <c r="D222" s="39">
        <f t="shared" si="52"/>
        <v>47.026891395729372</v>
      </c>
      <c r="E222" s="37">
        <f t="shared" si="52"/>
        <v>48.446891395729374</v>
      </c>
      <c r="F222" s="37">
        <f t="shared" si="52"/>
        <v>47.586891395729374</v>
      </c>
      <c r="G222" s="37">
        <f t="shared" si="52"/>
        <v>45.196891395729374</v>
      </c>
      <c r="H222" s="37">
        <f t="shared" si="52"/>
        <v>46.408601510334904</v>
      </c>
      <c r="J222" s="12"/>
      <c r="K222" s="13">
        <f t="shared" si="47"/>
        <v>2034</v>
      </c>
      <c r="L222" s="37">
        <f t="shared" ref="L222:Q231" si="53">L186+L89</f>
        <v>46.19860151033491</v>
      </c>
      <c r="M222" s="39">
        <f t="shared" si="53"/>
        <v>47.026891395729372</v>
      </c>
      <c r="N222" s="37">
        <f t="shared" si="53"/>
        <v>48.446891395729374</v>
      </c>
      <c r="O222" s="37">
        <f t="shared" si="53"/>
        <v>47.586891395729374</v>
      </c>
      <c r="P222" s="37">
        <f t="shared" si="53"/>
        <v>45.196891395729374</v>
      </c>
      <c r="Q222" s="37">
        <f t="shared" si="53"/>
        <v>46.408601510334904</v>
      </c>
    </row>
    <row r="223" spans="1:17">
      <c r="A223" s="12"/>
      <c r="B223" s="13">
        <f t="shared" si="49"/>
        <v>2035</v>
      </c>
      <c r="C223" s="37">
        <f t="shared" si="52"/>
        <v>47.237066548093281</v>
      </c>
      <c r="D223" s="39">
        <f t="shared" si="52"/>
        <v>48.062313680622601</v>
      </c>
      <c r="E223" s="37">
        <f t="shared" si="52"/>
        <v>49.482313680622603</v>
      </c>
      <c r="F223" s="37">
        <f t="shared" si="52"/>
        <v>48.622313680622604</v>
      </c>
      <c r="G223" s="37">
        <f t="shared" si="52"/>
        <v>46.232313680622603</v>
      </c>
      <c r="H223" s="37">
        <f t="shared" si="52"/>
        <v>47.447066548093275</v>
      </c>
      <c r="J223" s="12"/>
      <c r="K223" s="13">
        <f t="shared" si="47"/>
        <v>2035</v>
      </c>
      <c r="L223" s="37">
        <f t="shared" si="53"/>
        <v>47.237066548093281</v>
      </c>
      <c r="M223" s="39">
        <f t="shared" si="53"/>
        <v>48.062313680622601</v>
      </c>
      <c r="N223" s="37">
        <f t="shared" si="53"/>
        <v>49.482313680622603</v>
      </c>
      <c r="O223" s="37">
        <f t="shared" si="53"/>
        <v>48.622313680622604</v>
      </c>
      <c r="P223" s="37">
        <f t="shared" si="53"/>
        <v>46.232313680622603</v>
      </c>
      <c r="Q223" s="37">
        <f t="shared" si="53"/>
        <v>47.447066548093275</v>
      </c>
    </row>
    <row r="224" spans="1:17">
      <c r="A224" s="12"/>
      <c r="B224" s="13">
        <f t="shared" si="49"/>
        <v>2036</v>
      </c>
      <c r="C224" s="37">
        <f t="shared" si="52"/>
        <v>48.301493211795602</v>
      </c>
      <c r="D224" s="39">
        <f t="shared" si="52"/>
        <v>49.12362152263816</v>
      </c>
      <c r="E224" s="37">
        <f t="shared" si="52"/>
        <v>50.543621522638162</v>
      </c>
      <c r="F224" s="37">
        <f t="shared" si="52"/>
        <v>49.683621522638163</v>
      </c>
      <c r="G224" s="37">
        <f t="shared" si="52"/>
        <v>47.293621522638162</v>
      </c>
      <c r="H224" s="37">
        <f t="shared" si="52"/>
        <v>48.511493211795603</v>
      </c>
      <c r="J224" s="12"/>
      <c r="K224" s="13">
        <f t="shared" si="47"/>
        <v>2036</v>
      </c>
      <c r="L224" s="37">
        <f t="shared" si="53"/>
        <v>48.301493211795602</v>
      </c>
      <c r="M224" s="39">
        <f t="shared" si="53"/>
        <v>49.12362152263816</v>
      </c>
      <c r="N224" s="37">
        <f t="shared" si="53"/>
        <v>50.543621522638162</v>
      </c>
      <c r="O224" s="37">
        <f t="shared" si="53"/>
        <v>49.683621522638163</v>
      </c>
      <c r="P224" s="37">
        <f t="shared" si="53"/>
        <v>47.293621522638162</v>
      </c>
      <c r="Q224" s="37">
        <f t="shared" si="53"/>
        <v>48.511493211795603</v>
      </c>
    </row>
    <row r="225" spans="1:28">
      <c r="A225" s="12"/>
      <c r="B225" s="13">
        <f t="shared" si="49"/>
        <v>2037</v>
      </c>
      <c r="C225" s="37">
        <f t="shared" si="52"/>
        <v>49.392530542090498</v>
      </c>
      <c r="D225" s="39">
        <f t="shared" si="52"/>
        <v>50.211462060704108</v>
      </c>
      <c r="E225" s="37">
        <f t="shared" si="52"/>
        <v>51.631462060704109</v>
      </c>
      <c r="F225" s="37">
        <f t="shared" si="52"/>
        <v>50.77146206070411</v>
      </c>
      <c r="G225" s="37">
        <f t="shared" si="52"/>
        <v>48.381462060704109</v>
      </c>
      <c r="H225" s="37">
        <f t="shared" si="52"/>
        <v>49.602530542090491</v>
      </c>
      <c r="J225" s="12"/>
      <c r="K225" s="13">
        <f t="shared" si="47"/>
        <v>2037</v>
      </c>
      <c r="L225" s="37">
        <f t="shared" si="53"/>
        <v>49.392530542090498</v>
      </c>
      <c r="M225" s="39">
        <f t="shared" si="53"/>
        <v>50.211462060704108</v>
      </c>
      <c r="N225" s="37">
        <f t="shared" si="53"/>
        <v>51.631462060704109</v>
      </c>
      <c r="O225" s="37">
        <f t="shared" si="53"/>
        <v>50.77146206070411</v>
      </c>
      <c r="P225" s="37">
        <f t="shared" si="53"/>
        <v>48.381462060704109</v>
      </c>
      <c r="Q225" s="37">
        <f t="shared" si="53"/>
        <v>49.602530542090491</v>
      </c>
    </row>
    <row r="226" spans="1:28">
      <c r="A226" s="12"/>
      <c r="B226" s="13">
        <f t="shared" si="49"/>
        <v>2038</v>
      </c>
      <c r="C226" s="37">
        <f t="shared" si="52"/>
        <v>50.51084380564275</v>
      </c>
      <c r="D226" s="39">
        <f t="shared" si="52"/>
        <v>51.326498612221705</v>
      </c>
      <c r="E226" s="37">
        <f t="shared" si="52"/>
        <v>52.746498612221707</v>
      </c>
      <c r="F226" s="37">
        <f t="shared" si="52"/>
        <v>51.886498612221708</v>
      </c>
      <c r="G226" s="37">
        <f t="shared" si="52"/>
        <v>49.496498612221707</v>
      </c>
      <c r="H226" s="37">
        <f t="shared" si="52"/>
        <v>50.720843805642751</v>
      </c>
      <c r="J226" s="12"/>
      <c r="K226" s="13">
        <f t="shared" si="47"/>
        <v>2038</v>
      </c>
      <c r="L226" s="37">
        <f t="shared" si="53"/>
        <v>50.51084380564275</v>
      </c>
      <c r="M226" s="39">
        <f t="shared" si="53"/>
        <v>51.326498612221705</v>
      </c>
      <c r="N226" s="37">
        <f t="shared" si="53"/>
        <v>52.746498612221707</v>
      </c>
      <c r="O226" s="37">
        <f t="shared" si="53"/>
        <v>51.886498612221708</v>
      </c>
      <c r="P226" s="37">
        <f t="shared" si="53"/>
        <v>49.496498612221707</v>
      </c>
      <c r="Q226" s="37">
        <f t="shared" si="53"/>
        <v>50.720843805642751</v>
      </c>
    </row>
    <row r="227" spans="1:28">
      <c r="A227" s="12"/>
      <c r="B227" s="13">
        <f t="shared" si="49"/>
        <v>2039</v>
      </c>
      <c r="C227" s="37">
        <f t="shared" si="52"/>
        <v>51.657114900783824</v>
      </c>
      <c r="D227" s="39">
        <f t="shared" si="52"/>
        <v>52.469411077527241</v>
      </c>
      <c r="E227" s="37">
        <f t="shared" si="52"/>
        <v>53.889411077527242</v>
      </c>
      <c r="F227" s="37">
        <f t="shared" si="52"/>
        <v>53.029411077527243</v>
      </c>
      <c r="G227" s="37">
        <f t="shared" si="52"/>
        <v>50.639411077527242</v>
      </c>
      <c r="H227" s="37">
        <f t="shared" si="52"/>
        <v>51.867114900783818</v>
      </c>
      <c r="J227" s="12"/>
      <c r="K227" s="13">
        <f t="shared" si="47"/>
        <v>2039</v>
      </c>
      <c r="L227" s="37">
        <f t="shared" si="53"/>
        <v>51.657114900783824</v>
      </c>
      <c r="M227" s="39">
        <f t="shared" si="53"/>
        <v>52.469411077527241</v>
      </c>
      <c r="N227" s="37">
        <f t="shared" si="53"/>
        <v>53.889411077527242</v>
      </c>
      <c r="O227" s="37">
        <f t="shared" si="53"/>
        <v>53.029411077527243</v>
      </c>
      <c r="P227" s="37">
        <f t="shared" si="53"/>
        <v>50.639411077527242</v>
      </c>
      <c r="Q227" s="37">
        <f t="shared" si="53"/>
        <v>51.867114900783818</v>
      </c>
    </row>
    <row r="228" spans="1:28">
      <c r="A228" s="12"/>
      <c r="B228" s="13">
        <f t="shared" si="49"/>
        <v>2040</v>
      </c>
      <c r="C228" s="37">
        <f t="shared" si="52"/>
        <v>52.832042773303414</v>
      </c>
      <c r="D228" s="39">
        <f t="shared" si="52"/>
        <v>53.640896354465418</v>
      </c>
      <c r="E228" s="37">
        <f t="shared" si="52"/>
        <v>55.06089635446542</v>
      </c>
      <c r="F228" s="37">
        <f t="shared" si="52"/>
        <v>54.200896354465421</v>
      </c>
      <c r="G228" s="37">
        <f t="shared" si="52"/>
        <v>51.81089635446542</v>
      </c>
      <c r="H228" s="37">
        <f t="shared" si="52"/>
        <v>53.042042773303407</v>
      </c>
      <c r="J228" s="12"/>
      <c r="K228" s="13">
        <f t="shared" si="47"/>
        <v>2040</v>
      </c>
      <c r="L228" s="37">
        <f t="shared" si="53"/>
        <v>52.832042773303414</v>
      </c>
      <c r="M228" s="39">
        <f t="shared" si="53"/>
        <v>53.640896354465418</v>
      </c>
      <c r="N228" s="37">
        <f t="shared" si="53"/>
        <v>55.06089635446542</v>
      </c>
      <c r="O228" s="37">
        <f t="shared" si="53"/>
        <v>54.200896354465421</v>
      </c>
      <c r="P228" s="37">
        <f t="shared" si="53"/>
        <v>51.81089635446542</v>
      </c>
      <c r="Q228" s="37">
        <f t="shared" si="53"/>
        <v>53.042042773303407</v>
      </c>
    </row>
    <row r="229" spans="1:28">
      <c r="A229" s="12"/>
      <c r="B229" s="13">
        <f t="shared" si="49"/>
        <v>2041</v>
      </c>
      <c r="C229" s="37">
        <f t="shared" si="52"/>
        <v>54.036343842635986</v>
      </c>
      <c r="D229" s="39">
        <f t="shared" si="52"/>
        <v>54.84166876332705</v>
      </c>
      <c r="E229" s="37">
        <f t="shared" si="52"/>
        <v>56.261668763327052</v>
      </c>
      <c r="F229" s="37">
        <f t="shared" si="52"/>
        <v>55.401668763327052</v>
      </c>
      <c r="G229" s="37">
        <f t="shared" si="52"/>
        <v>53.011668763327052</v>
      </c>
      <c r="H229" s="37">
        <f t="shared" si="52"/>
        <v>54.246343842635987</v>
      </c>
      <c r="J229" s="12"/>
      <c r="K229" s="13">
        <f t="shared" si="47"/>
        <v>2041</v>
      </c>
      <c r="L229" s="37">
        <f t="shared" si="53"/>
        <v>54.036343842635986</v>
      </c>
      <c r="M229" s="39">
        <f t="shared" si="53"/>
        <v>54.84166876332705</v>
      </c>
      <c r="N229" s="37">
        <f t="shared" si="53"/>
        <v>56.261668763327052</v>
      </c>
      <c r="O229" s="37">
        <f t="shared" si="53"/>
        <v>55.401668763327052</v>
      </c>
      <c r="P229" s="37">
        <f t="shared" si="53"/>
        <v>53.011668763327052</v>
      </c>
      <c r="Q229" s="37">
        <f t="shared" si="53"/>
        <v>54.246343842635987</v>
      </c>
    </row>
    <row r="230" spans="1:28">
      <c r="A230" s="12"/>
      <c r="B230" s="13">
        <f t="shared" si="49"/>
        <v>2042</v>
      </c>
      <c r="C230" s="37">
        <f t="shared" si="52"/>
        <v>55.270752438701891</v>
      </c>
      <c r="D230" s="39">
        <f t="shared" si="52"/>
        <v>56.072460482410222</v>
      </c>
      <c r="E230" s="37">
        <f t="shared" si="52"/>
        <v>57.492460482410223</v>
      </c>
      <c r="F230" s="37">
        <f t="shared" si="52"/>
        <v>56.632460482410224</v>
      </c>
      <c r="G230" s="37">
        <f t="shared" si="52"/>
        <v>54.242460482410223</v>
      </c>
      <c r="H230" s="37">
        <f t="shared" si="52"/>
        <v>55.480752438701884</v>
      </c>
      <c r="J230" s="12"/>
      <c r="K230" s="13">
        <f t="shared" si="47"/>
        <v>2042</v>
      </c>
      <c r="L230" s="37">
        <f t="shared" si="53"/>
        <v>55.270752438701891</v>
      </c>
      <c r="M230" s="39">
        <f t="shared" si="53"/>
        <v>56.072460482410222</v>
      </c>
      <c r="N230" s="37">
        <f t="shared" si="53"/>
        <v>57.492460482410223</v>
      </c>
      <c r="O230" s="37">
        <f t="shared" si="53"/>
        <v>56.632460482410224</v>
      </c>
      <c r="P230" s="37">
        <f t="shared" si="53"/>
        <v>54.242460482410223</v>
      </c>
      <c r="Q230" s="37">
        <f t="shared" si="53"/>
        <v>55.480752438701884</v>
      </c>
    </row>
    <row r="231" spans="1:28">
      <c r="A231" s="12"/>
      <c r="B231" s="13">
        <f t="shared" si="49"/>
        <v>2043</v>
      </c>
      <c r="C231" s="37">
        <f t="shared" si="52"/>
        <v>56.536021249669432</v>
      </c>
      <c r="D231" s="39">
        <f t="shared" si="52"/>
        <v>57.334021994470476</v>
      </c>
      <c r="E231" s="37">
        <f t="shared" si="52"/>
        <v>58.754021994470477</v>
      </c>
      <c r="F231" s="37">
        <f t="shared" si="52"/>
        <v>57.894021994470478</v>
      </c>
      <c r="G231" s="37">
        <f t="shared" si="52"/>
        <v>55.504021994470477</v>
      </c>
      <c r="H231" s="37">
        <f t="shared" si="52"/>
        <v>56.746021249669425</v>
      </c>
      <c r="J231" s="12"/>
      <c r="K231" s="13">
        <f t="shared" si="47"/>
        <v>2043</v>
      </c>
      <c r="L231" s="37">
        <f t="shared" si="53"/>
        <v>56.536021249669432</v>
      </c>
      <c r="M231" s="39">
        <f t="shared" si="53"/>
        <v>57.334021994470476</v>
      </c>
      <c r="N231" s="37">
        <f t="shared" si="53"/>
        <v>58.754021994470477</v>
      </c>
      <c r="O231" s="37">
        <f t="shared" si="53"/>
        <v>57.894021994470478</v>
      </c>
      <c r="P231" s="37">
        <f t="shared" si="53"/>
        <v>55.504021994470477</v>
      </c>
      <c r="Q231" s="37">
        <f t="shared" si="53"/>
        <v>56.746021249669425</v>
      </c>
    </row>
    <row r="232" spans="1:28">
      <c r="A232" s="43"/>
      <c r="B232" s="13">
        <f t="shared" si="49"/>
        <v>2044</v>
      </c>
      <c r="C232" s="37">
        <f t="shared" ref="C232:H232" si="54">C196+C99</f>
        <v>57.832921780911164</v>
      </c>
      <c r="D232" s="39">
        <f t="shared" si="54"/>
        <v>58.627122544332231</v>
      </c>
      <c r="E232" s="37">
        <f t="shared" si="54"/>
        <v>60.047122544332233</v>
      </c>
      <c r="F232" s="37">
        <f t="shared" si="54"/>
        <v>59.187122544332233</v>
      </c>
      <c r="G232" s="37">
        <f t="shared" si="54"/>
        <v>56.797122544332233</v>
      </c>
      <c r="H232" s="37">
        <f t="shared" si="54"/>
        <v>58.042921780911158</v>
      </c>
      <c r="J232" s="43"/>
      <c r="K232" s="13">
        <f t="shared" si="47"/>
        <v>2044</v>
      </c>
      <c r="L232" s="37">
        <f t="shared" ref="L232:Q232" si="55">L196+L99</f>
        <v>57.832921780911164</v>
      </c>
      <c r="M232" s="39">
        <f t="shared" si="55"/>
        <v>58.627122544332231</v>
      </c>
      <c r="N232" s="37">
        <f t="shared" si="55"/>
        <v>60.047122544332233</v>
      </c>
      <c r="O232" s="37">
        <f t="shared" si="55"/>
        <v>59.187122544332233</v>
      </c>
      <c r="P232" s="37">
        <f t="shared" si="55"/>
        <v>56.797122544332233</v>
      </c>
      <c r="Q232" s="37">
        <f t="shared" si="55"/>
        <v>58.042921780911158</v>
      </c>
    </row>
    <row r="234" spans="1:28" s="2" customFormat="1" ht="27" customHeight="1">
      <c r="A234" s="1" t="s">
        <v>52</v>
      </c>
      <c r="E234" s="3"/>
    </row>
    <row r="236" spans="1:28" s="55" customFormat="1" ht="15.75" customHeight="1">
      <c r="A236" s="54" t="s">
        <v>53</v>
      </c>
    </row>
    <row r="238" spans="1:28" ht="12.75" customHeight="1">
      <c r="A238" s="132" t="s">
        <v>36</v>
      </c>
      <c r="B238" s="133"/>
      <c r="C238" s="133"/>
      <c r="D238" s="133"/>
      <c r="E238" s="133"/>
      <c r="F238" s="133"/>
      <c r="G238" s="133"/>
      <c r="H238" s="133"/>
      <c r="I238" s="133"/>
      <c r="L238" s="132" t="s">
        <v>37</v>
      </c>
      <c r="M238" s="133"/>
      <c r="N238" s="133"/>
      <c r="O238" s="133"/>
      <c r="P238" s="133"/>
      <c r="Q238" s="133"/>
      <c r="R238" s="133"/>
      <c r="S238" s="133"/>
      <c r="T238" s="133"/>
    </row>
    <row r="239" spans="1:28">
      <c r="A239" s="134" t="s">
        <v>5</v>
      </c>
      <c r="B239" s="134"/>
      <c r="C239" s="6">
        <v>1</v>
      </c>
      <c r="D239" s="6">
        <v>2</v>
      </c>
      <c r="E239" s="6">
        <v>3</v>
      </c>
      <c r="F239" s="6">
        <v>4</v>
      </c>
      <c r="G239" s="6">
        <v>5</v>
      </c>
      <c r="H239" s="6">
        <v>6</v>
      </c>
      <c r="I239" s="6">
        <v>6</v>
      </c>
      <c r="L239" s="134" t="s">
        <v>5</v>
      </c>
      <c r="M239" s="134"/>
      <c r="N239" s="6">
        <v>1</v>
      </c>
      <c r="O239" s="6">
        <v>2</v>
      </c>
      <c r="P239" s="6">
        <v>3</v>
      </c>
      <c r="Q239" s="6">
        <v>4</v>
      </c>
      <c r="R239" s="6">
        <v>5</v>
      </c>
      <c r="S239" s="6">
        <v>6</v>
      </c>
      <c r="T239" s="6">
        <v>6</v>
      </c>
    </row>
    <row r="240" spans="1:28" ht="31.5">
      <c r="A240" s="134" t="s">
        <v>6</v>
      </c>
      <c r="B240" s="134"/>
      <c r="C240" s="35" t="s">
        <v>55</v>
      </c>
      <c r="D240" s="35" t="s">
        <v>56</v>
      </c>
      <c r="E240" s="35" t="s">
        <v>57</v>
      </c>
      <c r="F240" s="35" t="s">
        <v>58</v>
      </c>
      <c r="G240" s="35" t="s">
        <v>59</v>
      </c>
      <c r="H240" s="35" t="s">
        <v>312</v>
      </c>
      <c r="I240" s="35" t="s">
        <v>169</v>
      </c>
      <c r="L240" s="134" t="s">
        <v>6</v>
      </c>
      <c r="M240" s="134"/>
      <c r="N240" s="35" t="s">
        <v>55</v>
      </c>
      <c r="O240" s="35" t="s">
        <v>56</v>
      </c>
      <c r="P240" s="35" t="s">
        <v>57</v>
      </c>
      <c r="Q240" s="35" t="s">
        <v>58</v>
      </c>
      <c r="R240" s="35" t="s">
        <v>59</v>
      </c>
      <c r="S240" s="35" t="s">
        <v>312</v>
      </c>
      <c r="T240" s="35" t="s">
        <v>169</v>
      </c>
      <c r="AA240" s="4" t="s">
        <v>313</v>
      </c>
      <c r="AB240" s="4" t="s">
        <v>314</v>
      </c>
    </row>
    <row r="241" spans="1:28">
      <c r="A241" s="8"/>
      <c r="B241" s="9" t="s">
        <v>22</v>
      </c>
      <c r="C241" s="36" t="s">
        <v>54</v>
      </c>
      <c r="D241" s="36" t="s">
        <v>54</v>
      </c>
      <c r="E241" s="36" t="s">
        <v>54</v>
      </c>
      <c r="F241" s="36" t="s">
        <v>54</v>
      </c>
      <c r="G241" s="36" t="s">
        <v>54</v>
      </c>
      <c r="H241" s="36" t="s">
        <v>54</v>
      </c>
      <c r="I241" s="36" t="s">
        <v>54</v>
      </c>
      <c r="L241" s="8"/>
      <c r="M241" s="9" t="s">
        <v>22</v>
      </c>
      <c r="N241" s="36" t="s">
        <v>54</v>
      </c>
      <c r="O241" s="36" t="s">
        <v>54</v>
      </c>
      <c r="P241" s="36" t="s">
        <v>54</v>
      </c>
      <c r="Q241" s="36" t="s">
        <v>54</v>
      </c>
      <c r="R241" s="36" t="s">
        <v>54</v>
      </c>
      <c r="S241" s="36" t="s">
        <v>54</v>
      </c>
      <c r="T241" s="36" t="s">
        <v>54</v>
      </c>
      <c r="V241" s="4">
        <v>2025</v>
      </c>
      <c r="W241" s="4">
        <v>2040</v>
      </c>
      <c r="Y241" s="4">
        <v>2014</v>
      </c>
      <c r="Z241" s="4">
        <v>2015</v>
      </c>
      <c r="AA241" s="4">
        <v>2025</v>
      </c>
      <c r="AB241" s="4">
        <v>2040</v>
      </c>
    </row>
    <row r="242" spans="1:28">
      <c r="A242" s="12"/>
      <c r="B242" s="13">
        <f t="shared" ref="B242:B271" si="56">B70</f>
        <v>2015</v>
      </c>
      <c r="C242" s="58">
        <f>V243*X243*Y243</f>
        <v>529200</v>
      </c>
      <c r="D242" s="59">
        <f>V244*X243*Y244</f>
        <v>676200</v>
      </c>
      <c r="E242" s="59">
        <f>V245*X245*Y245</f>
        <v>646800</v>
      </c>
      <c r="F242" s="59">
        <f>V246*X246*Y246</f>
        <v>401800</v>
      </c>
      <c r="G242" s="59">
        <f>V247*X247*Y247</f>
        <v>553700</v>
      </c>
      <c r="H242" s="59">
        <f>V247*X247*Y248</f>
        <v>0</v>
      </c>
      <c r="I242" s="59">
        <f>SUM(C242:H242)</f>
        <v>2807700</v>
      </c>
      <c r="L242" s="12"/>
      <c r="M242" s="13">
        <f t="shared" ref="M242:M271" si="57">B242</f>
        <v>2015</v>
      </c>
      <c r="N242" s="58">
        <f>V243*X243*AA243</f>
        <v>793800</v>
      </c>
      <c r="O242" s="59">
        <f>V244*X244*AA244</f>
        <v>1255800</v>
      </c>
      <c r="P242" s="59">
        <f>V245*X245*AA245</f>
        <v>954800</v>
      </c>
      <c r="Q242" s="59">
        <f>V246*X246*AA246</f>
        <v>602700</v>
      </c>
      <c r="R242" s="59">
        <f>V247*X247*AA247</f>
        <v>830550</v>
      </c>
      <c r="S242" s="59">
        <f>V248*X248*AA248</f>
        <v>0</v>
      </c>
      <c r="T242" s="122">
        <f>SUM(N242:S242)</f>
        <v>4437650</v>
      </c>
      <c r="V242" s="4" t="s">
        <v>308</v>
      </c>
      <c r="X242" s="4" t="s">
        <v>310</v>
      </c>
      <c r="Y242" s="4" t="s">
        <v>311</v>
      </c>
      <c r="Z242" s="4" t="s">
        <v>311</v>
      </c>
      <c r="AA242" s="4" t="s">
        <v>311</v>
      </c>
      <c r="AB242" s="4" t="s">
        <v>311</v>
      </c>
    </row>
    <row r="243" spans="1:28">
      <c r="A243" s="12"/>
      <c r="B243" s="13">
        <f t="shared" si="56"/>
        <v>2016</v>
      </c>
      <c r="C243" s="60">
        <f t="shared" ref="C243:H243" si="58">1.002*C242</f>
        <v>530258.4</v>
      </c>
      <c r="D243" s="60">
        <f t="shared" si="58"/>
        <v>677552.4</v>
      </c>
      <c r="E243" s="60">
        <f t="shared" si="58"/>
        <v>648093.6</v>
      </c>
      <c r="F243" s="60">
        <f t="shared" si="58"/>
        <v>402603.6</v>
      </c>
      <c r="G243" s="60">
        <f t="shared" si="58"/>
        <v>554807.4</v>
      </c>
      <c r="H243" s="60">
        <f t="shared" si="58"/>
        <v>0</v>
      </c>
      <c r="I243" s="59">
        <f t="shared" ref="I243:I271" si="59">SUM(C243:H243)</f>
        <v>2813315.4</v>
      </c>
      <c r="L243" s="12"/>
      <c r="M243" s="13">
        <f t="shared" si="57"/>
        <v>2016</v>
      </c>
      <c r="N243" s="60">
        <f t="shared" ref="N243:S243" si="60">N242*1.002</f>
        <v>795387.6</v>
      </c>
      <c r="O243" s="61">
        <f t="shared" si="60"/>
        <v>1258311.6000000001</v>
      </c>
      <c r="P243" s="61">
        <f t="shared" si="60"/>
        <v>956709.6</v>
      </c>
      <c r="Q243" s="61">
        <f t="shared" si="60"/>
        <v>603905.4</v>
      </c>
      <c r="R243" s="61">
        <f t="shared" si="60"/>
        <v>832211.1</v>
      </c>
      <c r="S243" s="61">
        <f t="shared" si="60"/>
        <v>0</v>
      </c>
      <c r="T243" s="123">
        <f t="shared" ref="T243:T271" si="61">SUM(N243:S243)</f>
        <v>4446525.3</v>
      </c>
      <c r="U243" s="4" t="s">
        <v>189</v>
      </c>
      <c r="V243" s="4">
        <v>108</v>
      </c>
      <c r="W243" s="4">
        <v>108</v>
      </c>
      <c r="X243" s="4">
        <v>350</v>
      </c>
      <c r="Y243" s="4">
        <v>14</v>
      </c>
      <c r="Z243" s="4">
        <v>21</v>
      </c>
      <c r="AA243" s="4">
        <v>21</v>
      </c>
      <c r="AB243" s="4">
        <v>31</v>
      </c>
    </row>
    <row r="244" spans="1:28">
      <c r="A244" s="12"/>
      <c r="B244" s="13">
        <f t="shared" si="56"/>
        <v>2017</v>
      </c>
      <c r="C244" s="60">
        <f t="shared" ref="C244:C271" si="62">1.002*C243</f>
        <v>531318.91680000001</v>
      </c>
      <c r="D244" s="60">
        <f t="shared" ref="D244:D271" si="63">1.002*D243</f>
        <v>678907.5048</v>
      </c>
      <c r="E244" s="60">
        <f t="shared" ref="E244:E271" si="64">1.002*E243</f>
        <v>649389.78720000002</v>
      </c>
      <c r="F244" s="60">
        <f t="shared" ref="F244:F271" si="65">1.002*F243</f>
        <v>403408.80719999998</v>
      </c>
      <c r="G244" s="60">
        <f t="shared" ref="G244:H271" si="66">1.002*G243</f>
        <v>555917.0148</v>
      </c>
      <c r="H244" s="60">
        <f t="shared" si="66"/>
        <v>0</v>
      </c>
      <c r="I244" s="59">
        <f t="shared" si="59"/>
        <v>2818942.0308000003</v>
      </c>
      <c r="L244" s="12"/>
      <c r="M244" s="13">
        <f t="shared" si="57"/>
        <v>2017</v>
      </c>
      <c r="N244" s="60">
        <f t="shared" ref="N244:N252" si="67">N243*1.002</f>
        <v>796978.37520000001</v>
      </c>
      <c r="O244" s="61">
        <f t="shared" ref="O244:O252" si="68">O243*1.002</f>
        <v>1260828.2232000001</v>
      </c>
      <c r="P244" s="61">
        <f t="shared" ref="P244:P252" si="69">P243*1.002</f>
        <v>958623.01919999998</v>
      </c>
      <c r="Q244" s="61">
        <f t="shared" ref="Q244:Q252" si="70">Q243*1.002</f>
        <v>605113.2108</v>
      </c>
      <c r="R244" s="61">
        <f t="shared" ref="R244:R252" si="71">R243*1.002</f>
        <v>833875.52220000001</v>
      </c>
      <c r="S244" s="61">
        <f t="shared" ref="S244:S266" si="72">S243*1.002</f>
        <v>0</v>
      </c>
      <c r="T244" s="123">
        <f t="shared" si="61"/>
        <v>4455418.3506000005</v>
      </c>
      <c r="U244" s="4" t="s">
        <v>190</v>
      </c>
      <c r="V244" s="4">
        <v>92</v>
      </c>
      <c r="W244" s="4">
        <v>92</v>
      </c>
      <c r="X244" s="4">
        <v>350</v>
      </c>
      <c r="Y244" s="4">
        <v>21</v>
      </c>
      <c r="Z244" s="4">
        <v>39</v>
      </c>
      <c r="AA244" s="4">
        <v>39</v>
      </c>
      <c r="AB244" s="4">
        <v>39</v>
      </c>
    </row>
    <row r="245" spans="1:28">
      <c r="A245" s="12"/>
      <c r="B245" s="13">
        <f t="shared" si="56"/>
        <v>2018</v>
      </c>
      <c r="C245" s="60">
        <f t="shared" si="62"/>
        <v>532381.55463360006</v>
      </c>
      <c r="D245" s="60">
        <f t="shared" si="63"/>
        <v>680265.31980960001</v>
      </c>
      <c r="E245" s="60">
        <f t="shared" si="64"/>
        <v>650688.56677440007</v>
      </c>
      <c r="F245" s="60">
        <f t="shared" si="65"/>
        <v>404215.62481439998</v>
      </c>
      <c r="G245" s="60">
        <f t="shared" si="66"/>
        <v>557028.84882960003</v>
      </c>
      <c r="H245" s="60">
        <f t="shared" si="66"/>
        <v>0</v>
      </c>
      <c r="I245" s="59">
        <f t="shared" si="59"/>
        <v>2824579.9148615999</v>
      </c>
      <c r="L245" s="12"/>
      <c r="M245" s="13">
        <f t="shared" si="57"/>
        <v>2018</v>
      </c>
      <c r="N245" s="60">
        <f t="shared" si="67"/>
        <v>798572.33195040002</v>
      </c>
      <c r="O245" s="61">
        <f t="shared" si="68"/>
        <v>1263349.8796464002</v>
      </c>
      <c r="P245" s="61">
        <f t="shared" si="69"/>
        <v>960540.26523839997</v>
      </c>
      <c r="Q245" s="61">
        <f t="shared" si="70"/>
        <v>606323.43722159998</v>
      </c>
      <c r="R245" s="61">
        <f t="shared" si="71"/>
        <v>835543.27324440004</v>
      </c>
      <c r="S245" s="61">
        <f t="shared" si="72"/>
        <v>0</v>
      </c>
      <c r="T245" s="123">
        <f t="shared" si="61"/>
        <v>4464329.1873011999</v>
      </c>
      <c r="U245" s="4" t="s">
        <v>191</v>
      </c>
      <c r="V245" s="4">
        <v>88</v>
      </c>
      <c r="W245" s="4">
        <v>107</v>
      </c>
      <c r="X245" s="4">
        <v>350</v>
      </c>
      <c r="Y245" s="4">
        <v>21</v>
      </c>
      <c r="Z245" s="4">
        <v>31</v>
      </c>
      <c r="AA245" s="4">
        <v>31</v>
      </c>
      <c r="AB245" s="4">
        <v>31</v>
      </c>
    </row>
    <row r="246" spans="1:28">
      <c r="A246" s="12"/>
      <c r="B246" s="13">
        <f t="shared" si="56"/>
        <v>2019</v>
      </c>
      <c r="C246" s="60">
        <f t="shared" si="62"/>
        <v>533446.31774286728</v>
      </c>
      <c r="D246" s="60">
        <f t="shared" si="63"/>
        <v>681625.85044921923</v>
      </c>
      <c r="E246" s="60">
        <f t="shared" si="64"/>
        <v>651989.94390794891</v>
      </c>
      <c r="F246" s="60">
        <f t="shared" si="65"/>
        <v>405024.05606402876</v>
      </c>
      <c r="G246" s="60">
        <f t="shared" si="66"/>
        <v>558142.90652725927</v>
      </c>
      <c r="H246" s="60">
        <f t="shared" si="66"/>
        <v>0</v>
      </c>
      <c r="I246" s="59">
        <f t="shared" si="59"/>
        <v>2830229.0746913236</v>
      </c>
      <c r="L246" s="12"/>
      <c r="M246" s="13">
        <f t="shared" si="57"/>
        <v>2019</v>
      </c>
      <c r="N246" s="60">
        <f t="shared" si="67"/>
        <v>800169.47661430086</v>
      </c>
      <c r="O246" s="61">
        <f t="shared" si="68"/>
        <v>1265876.5794056931</v>
      </c>
      <c r="P246" s="61">
        <f t="shared" si="69"/>
        <v>962461.34576887672</v>
      </c>
      <c r="Q246" s="61">
        <f t="shared" si="70"/>
        <v>607536.08409604314</v>
      </c>
      <c r="R246" s="61">
        <f t="shared" si="71"/>
        <v>837214.35979088885</v>
      </c>
      <c r="S246" s="61">
        <f t="shared" si="72"/>
        <v>0</v>
      </c>
      <c r="T246" s="123">
        <f>SUM(N246:S246)</f>
        <v>4473257.8456758028</v>
      </c>
      <c r="U246" s="4" t="s">
        <v>192</v>
      </c>
      <c r="V246" s="4">
        <v>82</v>
      </c>
      <c r="W246" s="4">
        <v>82</v>
      </c>
      <c r="X246" s="4">
        <v>350</v>
      </c>
      <c r="Y246" s="4">
        <v>14</v>
      </c>
      <c r="Z246" s="4">
        <v>21</v>
      </c>
      <c r="AA246" s="4">
        <v>21</v>
      </c>
      <c r="AB246" s="4">
        <v>31</v>
      </c>
    </row>
    <row r="247" spans="1:28">
      <c r="A247" s="12"/>
      <c r="B247" s="13">
        <f t="shared" si="56"/>
        <v>2020</v>
      </c>
      <c r="C247" s="60">
        <f t="shared" si="62"/>
        <v>534513.21037835302</v>
      </c>
      <c r="D247" s="60">
        <f t="shared" si="63"/>
        <v>682989.10215011763</v>
      </c>
      <c r="E247" s="60">
        <f t="shared" si="64"/>
        <v>653293.9237957648</v>
      </c>
      <c r="F247" s="60">
        <f t="shared" si="65"/>
        <v>405834.1041761568</v>
      </c>
      <c r="G247" s="60">
        <f t="shared" si="66"/>
        <v>559259.19234031381</v>
      </c>
      <c r="H247" s="60">
        <f t="shared" si="66"/>
        <v>0</v>
      </c>
      <c r="I247" s="59">
        <f t="shared" si="59"/>
        <v>2835889.5328407059</v>
      </c>
      <c r="L247" s="12"/>
      <c r="M247" s="13">
        <f t="shared" si="57"/>
        <v>2020</v>
      </c>
      <c r="N247" s="60">
        <f t="shared" si="67"/>
        <v>801769.81556752941</v>
      </c>
      <c r="O247" s="61">
        <f t="shared" si="68"/>
        <v>1268408.3325645046</v>
      </c>
      <c r="P247" s="61">
        <f t="shared" si="69"/>
        <v>964386.26846041449</v>
      </c>
      <c r="Q247" s="61">
        <f t="shared" si="70"/>
        <v>608751.15626423527</v>
      </c>
      <c r="R247" s="61">
        <f t="shared" si="71"/>
        <v>838888.78851047065</v>
      </c>
      <c r="S247" s="61">
        <f t="shared" si="72"/>
        <v>0</v>
      </c>
      <c r="T247" s="123">
        <f t="shared" si="61"/>
        <v>4482204.3613671549</v>
      </c>
      <c r="U247" s="4" t="s">
        <v>193</v>
      </c>
      <c r="V247" s="4">
        <v>113</v>
      </c>
      <c r="W247" s="4">
        <v>113</v>
      </c>
      <c r="X247" s="4">
        <v>350</v>
      </c>
      <c r="Y247" s="4">
        <v>14</v>
      </c>
      <c r="Z247" s="4">
        <v>21</v>
      </c>
      <c r="AA247" s="4">
        <v>21</v>
      </c>
      <c r="AB247" s="4">
        <v>21</v>
      </c>
    </row>
    <row r="248" spans="1:28">
      <c r="A248" s="12"/>
      <c r="B248" s="13">
        <f t="shared" si="56"/>
        <v>2021</v>
      </c>
      <c r="C248" s="60">
        <f t="shared" si="62"/>
        <v>535582.23679910973</v>
      </c>
      <c r="D248" s="60">
        <f t="shared" si="63"/>
        <v>684355.08035441791</v>
      </c>
      <c r="E248" s="60">
        <f t="shared" si="64"/>
        <v>654600.51164335629</v>
      </c>
      <c r="F248" s="60">
        <f t="shared" si="65"/>
        <v>406645.77238450909</v>
      </c>
      <c r="G248" s="60">
        <f t="shared" si="66"/>
        <v>560377.71072499442</v>
      </c>
      <c r="H248" s="60">
        <f t="shared" si="66"/>
        <v>0</v>
      </c>
      <c r="I248" s="59">
        <f t="shared" si="59"/>
        <v>2841561.3119063876</v>
      </c>
      <c r="L248" s="12"/>
      <c r="M248" s="13">
        <f t="shared" si="57"/>
        <v>2021</v>
      </c>
      <c r="N248" s="60">
        <f t="shared" si="67"/>
        <v>803373.35519866447</v>
      </c>
      <c r="O248" s="61">
        <f t="shared" si="68"/>
        <v>1270945.1492296336</v>
      </c>
      <c r="P248" s="61">
        <f t="shared" si="69"/>
        <v>966315.04099733534</v>
      </c>
      <c r="Q248" s="61">
        <f t="shared" si="70"/>
        <v>609968.6585767637</v>
      </c>
      <c r="R248" s="61">
        <f t="shared" si="71"/>
        <v>840566.56608749158</v>
      </c>
      <c r="S248" s="61">
        <f t="shared" si="72"/>
        <v>0</v>
      </c>
      <c r="T248" s="123">
        <f t="shared" si="61"/>
        <v>4491168.7700898889</v>
      </c>
      <c r="U248" s="4" t="s">
        <v>309</v>
      </c>
      <c r="V248" s="4">
        <v>8</v>
      </c>
      <c r="W248" s="4">
        <v>8</v>
      </c>
      <c r="X248" s="4">
        <v>350</v>
      </c>
      <c r="Y248" s="4">
        <v>0</v>
      </c>
      <c r="Z248" s="4">
        <v>0</v>
      </c>
      <c r="AA248" s="4">
        <v>0</v>
      </c>
      <c r="AB248" s="4">
        <v>21</v>
      </c>
    </row>
    <row r="249" spans="1:28">
      <c r="A249" s="12"/>
      <c r="B249" s="13">
        <f t="shared" si="56"/>
        <v>2022</v>
      </c>
      <c r="C249" s="60">
        <f t="shared" si="62"/>
        <v>536653.40127270797</v>
      </c>
      <c r="D249" s="60">
        <f t="shared" si="63"/>
        <v>685723.79051512678</v>
      </c>
      <c r="E249" s="60">
        <f t="shared" si="64"/>
        <v>655909.71266664297</v>
      </c>
      <c r="F249" s="60">
        <f t="shared" si="65"/>
        <v>407459.06392927811</v>
      </c>
      <c r="G249" s="60">
        <f t="shared" si="66"/>
        <v>561498.46614644444</v>
      </c>
      <c r="H249" s="60">
        <f t="shared" si="66"/>
        <v>0</v>
      </c>
      <c r="I249" s="59">
        <f t="shared" si="59"/>
        <v>2847244.4345302</v>
      </c>
      <c r="L249" s="12"/>
      <c r="M249" s="13">
        <f t="shared" si="57"/>
        <v>2022</v>
      </c>
      <c r="N249" s="60">
        <f t="shared" si="67"/>
        <v>804980.10190906178</v>
      </c>
      <c r="O249" s="61">
        <f t="shared" si="68"/>
        <v>1273487.0395280928</v>
      </c>
      <c r="P249" s="61">
        <f t="shared" si="69"/>
        <v>968247.67107933003</v>
      </c>
      <c r="Q249" s="61">
        <f t="shared" si="70"/>
        <v>611188.59589391726</v>
      </c>
      <c r="R249" s="61">
        <f t="shared" si="71"/>
        <v>842247.69921966654</v>
      </c>
      <c r="S249" s="61">
        <f t="shared" si="72"/>
        <v>0</v>
      </c>
      <c r="T249" s="123">
        <f t="shared" si="61"/>
        <v>4500151.1076300684</v>
      </c>
    </row>
    <row r="250" spans="1:28">
      <c r="A250" s="12"/>
      <c r="B250" s="13">
        <f t="shared" si="56"/>
        <v>2023</v>
      </c>
      <c r="C250" s="60">
        <f t="shared" si="62"/>
        <v>537726.70807525341</v>
      </c>
      <c r="D250" s="60">
        <f t="shared" si="63"/>
        <v>687095.23809615709</v>
      </c>
      <c r="E250" s="60">
        <f t="shared" si="64"/>
        <v>657221.53209197626</v>
      </c>
      <c r="F250" s="60">
        <f t="shared" si="65"/>
        <v>408273.98205713666</v>
      </c>
      <c r="G250" s="60">
        <f t="shared" si="66"/>
        <v>562621.46307873738</v>
      </c>
      <c r="H250" s="60">
        <f t="shared" si="66"/>
        <v>0</v>
      </c>
      <c r="I250" s="59">
        <f t="shared" si="59"/>
        <v>2852938.9233992603</v>
      </c>
      <c r="L250" s="12"/>
      <c r="M250" s="13">
        <f t="shared" si="57"/>
        <v>2023</v>
      </c>
      <c r="N250" s="60">
        <f t="shared" si="67"/>
        <v>806590.06211287994</v>
      </c>
      <c r="O250" s="61">
        <f t="shared" si="68"/>
        <v>1276034.013607149</v>
      </c>
      <c r="P250" s="61">
        <f t="shared" si="69"/>
        <v>970184.16642148874</v>
      </c>
      <c r="Q250" s="61">
        <f t="shared" si="70"/>
        <v>612410.97308570507</v>
      </c>
      <c r="R250" s="61">
        <f t="shared" si="71"/>
        <v>843932.19461810589</v>
      </c>
      <c r="S250" s="61">
        <f t="shared" si="72"/>
        <v>0</v>
      </c>
      <c r="T250" s="123">
        <f t="shared" si="61"/>
        <v>4509151.4098453289</v>
      </c>
    </row>
    <row r="251" spans="1:28">
      <c r="A251" s="12"/>
      <c r="B251" s="13">
        <f t="shared" si="56"/>
        <v>2024</v>
      </c>
      <c r="C251" s="60">
        <f t="shared" si="62"/>
        <v>538802.16149140394</v>
      </c>
      <c r="D251" s="60">
        <f t="shared" si="63"/>
        <v>688469.42857234937</v>
      </c>
      <c r="E251" s="60">
        <f t="shared" si="64"/>
        <v>658535.97515616019</v>
      </c>
      <c r="F251" s="60">
        <f t="shared" si="65"/>
        <v>409090.53002125095</v>
      </c>
      <c r="G251" s="60">
        <f t="shared" si="66"/>
        <v>563746.7060048948</v>
      </c>
      <c r="H251" s="60">
        <f t="shared" si="66"/>
        <v>0</v>
      </c>
      <c r="I251" s="59">
        <f t="shared" si="59"/>
        <v>2858644.8012460596</v>
      </c>
      <c r="L251" s="12"/>
      <c r="M251" s="13">
        <f t="shared" si="57"/>
        <v>2024</v>
      </c>
      <c r="N251" s="60">
        <f t="shared" si="67"/>
        <v>808203.24223710573</v>
      </c>
      <c r="O251" s="61">
        <f t="shared" si="68"/>
        <v>1278586.0816343634</v>
      </c>
      <c r="P251" s="61">
        <f t="shared" si="69"/>
        <v>972124.53475433169</v>
      </c>
      <c r="Q251" s="61">
        <f t="shared" si="70"/>
        <v>613635.79503187654</v>
      </c>
      <c r="R251" s="61">
        <f t="shared" si="71"/>
        <v>845620.05900734209</v>
      </c>
      <c r="S251" s="61">
        <f t="shared" si="72"/>
        <v>0</v>
      </c>
      <c r="T251" s="123">
        <f t="shared" si="61"/>
        <v>4518169.7126650196</v>
      </c>
    </row>
    <row r="252" spans="1:28">
      <c r="A252" s="12"/>
      <c r="B252" s="13">
        <f t="shared" si="56"/>
        <v>2025</v>
      </c>
      <c r="C252" s="60">
        <f t="shared" si="62"/>
        <v>539879.76581438677</v>
      </c>
      <c r="D252" s="60">
        <f t="shared" si="63"/>
        <v>689846.36742949404</v>
      </c>
      <c r="E252" s="60">
        <f t="shared" si="64"/>
        <v>659853.04710647254</v>
      </c>
      <c r="F252" s="60">
        <f t="shared" si="65"/>
        <v>409908.71108129347</v>
      </c>
      <c r="G252" s="60">
        <f t="shared" si="66"/>
        <v>564874.19941690459</v>
      </c>
      <c r="H252" s="60">
        <f t="shared" si="66"/>
        <v>0</v>
      </c>
      <c r="I252" s="59">
        <f t="shared" si="59"/>
        <v>2864362.0908485516</v>
      </c>
      <c r="L252" s="12"/>
      <c r="M252" s="13">
        <f t="shared" si="57"/>
        <v>2025</v>
      </c>
      <c r="N252" s="60">
        <f t="shared" si="67"/>
        <v>809819.64872157993</v>
      </c>
      <c r="O252" s="61">
        <f t="shared" si="68"/>
        <v>1281143.2537976322</v>
      </c>
      <c r="P252" s="61">
        <f t="shared" si="69"/>
        <v>974068.78382384032</v>
      </c>
      <c r="Q252" s="61">
        <f t="shared" si="70"/>
        <v>614863.06662194023</v>
      </c>
      <c r="R252" s="61">
        <f t="shared" si="71"/>
        <v>847311.29912535683</v>
      </c>
      <c r="S252" s="61">
        <f t="shared" si="72"/>
        <v>0</v>
      </c>
      <c r="T252" s="123">
        <f t="shared" si="61"/>
        <v>4527206.0520903496</v>
      </c>
    </row>
    <row r="253" spans="1:28">
      <c r="A253" s="12"/>
      <c r="B253" s="13">
        <f t="shared" si="56"/>
        <v>2026</v>
      </c>
      <c r="C253" s="60">
        <f t="shared" si="62"/>
        <v>540959.52534601558</v>
      </c>
      <c r="D253" s="60">
        <f t="shared" si="63"/>
        <v>691226.060164353</v>
      </c>
      <c r="E253" s="60">
        <f t="shared" si="64"/>
        <v>661172.75320068549</v>
      </c>
      <c r="F253" s="60">
        <f t="shared" si="65"/>
        <v>410728.52850345604</v>
      </c>
      <c r="G253" s="60">
        <f t="shared" si="66"/>
        <v>566003.94781573839</v>
      </c>
      <c r="H253" s="60">
        <f t="shared" si="66"/>
        <v>0</v>
      </c>
      <c r="I253" s="59">
        <f t="shared" si="59"/>
        <v>2870090.8150302488</v>
      </c>
      <c r="L253" s="12"/>
      <c r="M253" s="13">
        <f t="shared" si="57"/>
        <v>2026</v>
      </c>
      <c r="N253" s="60">
        <f>V243*X243*AB243</f>
        <v>1171800</v>
      </c>
      <c r="O253" s="61">
        <f>V244*X244*AB244</f>
        <v>1255800</v>
      </c>
      <c r="P253" s="61">
        <f>W245*X245*AB245</f>
        <v>1160950</v>
      </c>
      <c r="Q253" s="61">
        <f>V246*X246*AB246</f>
        <v>889700</v>
      </c>
      <c r="R253" s="61">
        <f>V247*X247*AB247</f>
        <v>830550</v>
      </c>
      <c r="S253" s="61">
        <f t="shared" si="72"/>
        <v>0</v>
      </c>
      <c r="T253" s="123">
        <f t="shared" si="61"/>
        <v>5308800</v>
      </c>
    </row>
    <row r="254" spans="1:28">
      <c r="A254" s="12"/>
      <c r="B254" s="13">
        <f t="shared" si="56"/>
        <v>2027</v>
      </c>
      <c r="C254" s="60">
        <f t="shared" si="62"/>
        <v>542041.44439670758</v>
      </c>
      <c r="D254" s="60">
        <f t="shared" si="63"/>
        <v>692608.51228468167</v>
      </c>
      <c r="E254" s="60">
        <f t="shared" si="64"/>
        <v>662495.09870708687</v>
      </c>
      <c r="F254" s="60">
        <f t="shared" si="65"/>
        <v>411549.98556046293</v>
      </c>
      <c r="G254" s="60">
        <f t="shared" si="66"/>
        <v>567135.95571136987</v>
      </c>
      <c r="H254" s="60">
        <f t="shared" si="66"/>
        <v>0</v>
      </c>
      <c r="I254" s="59">
        <f t="shared" si="59"/>
        <v>2875830.9966603089</v>
      </c>
      <c r="L254" s="12"/>
      <c r="M254" s="13">
        <f t="shared" si="57"/>
        <v>2027</v>
      </c>
      <c r="N254" s="60">
        <f t="shared" ref="N254:N271" si="73">N253*1.002</f>
        <v>1174143.6000000001</v>
      </c>
      <c r="O254" s="61">
        <f t="shared" ref="O254:R269" si="74">O253*1.002</f>
        <v>1258311.6000000001</v>
      </c>
      <c r="P254" s="61">
        <f t="shared" si="74"/>
        <v>1163271.8999999999</v>
      </c>
      <c r="Q254" s="61">
        <f t="shared" si="74"/>
        <v>891479.4</v>
      </c>
      <c r="R254" s="61">
        <f t="shared" si="74"/>
        <v>832211.1</v>
      </c>
      <c r="S254" s="61">
        <f t="shared" si="72"/>
        <v>0</v>
      </c>
      <c r="T254" s="123">
        <f t="shared" si="61"/>
        <v>5319417.5999999996</v>
      </c>
    </row>
    <row r="255" spans="1:28">
      <c r="A255" s="12"/>
      <c r="B255" s="13">
        <f t="shared" si="56"/>
        <v>2028</v>
      </c>
      <c r="C255" s="60">
        <f t="shared" si="62"/>
        <v>543125.52728550101</v>
      </c>
      <c r="D255" s="60">
        <f t="shared" si="63"/>
        <v>693993.72930925107</v>
      </c>
      <c r="E255" s="60">
        <f t="shared" si="64"/>
        <v>663820.08890450106</v>
      </c>
      <c r="F255" s="60">
        <f t="shared" si="65"/>
        <v>412373.08553158387</v>
      </c>
      <c r="G255" s="60">
        <f t="shared" si="66"/>
        <v>568270.22762279259</v>
      </c>
      <c r="H255" s="60">
        <f t="shared" si="66"/>
        <v>0</v>
      </c>
      <c r="I255" s="59">
        <f t="shared" si="59"/>
        <v>2881582.6586536295</v>
      </c>
      <c r="L255" s="12"/>
      <c r="M255" s="13">
        <f t="shared" si="57"/>
        <v>2028</v>
      </c>
      <c r="N255" s="60">
        <f t="shared" si="73"/>
        <v>1176491.8872</v>
      </c>
      <c r="O255" s="61">
        <f t="shared" si="74"/>
        <v>1260828.2232000001</v>
      </c>
      <c r="P255" s="61">
        <f t="shared" si="74"/>
        <v>1165598.4438</v>
      </c>
      <c r="Q255" s="61">
        <f t="shared" si="74"/>
        <v>893262.35880000005</v>
      </c>
      <c r="R255" s="61">
        <f t="shared" si="74"/>
        <v>833875.52220000001</v>
      </c>
      <c r="S255" s="61">
        <f t="shared" si="72"/>
        <v>0</v>
      </c>
      <c r="T255" s="123">
        <f t="shared" si="61"/>
        <v>5330056.4352000002</v>
      </c>
    </row>
    <row r="256" spans="1:28">
      <c r="A256" s="12"/>
      <c r="B256" s="13">
        <f t="shared" si="56"/>
        <v>2029</v>
      </c>
      <c r="C256" s="60">
        <f t="shared" si="62"/>
        <v>544211.77834007202</v>
      </c>
      <c r="D256" s="60">
        <f t="shared" si="63"/>
        <v>695381.71676786954</v>
      </c>
      <c r="E256" s="60">
        <f t="shared" si="64"/>
        <v>665147.72908231011</v>
      </c>
      <c r="F256" s="60">
        <f t="shared" si="65"/>
        <v>413197.83170264703</v>
      </c>
      <c r="G256" s="60">
        <f t="shared" si="66"/>
        <v>569406.76807803812</v>
      </c>
      <c r="H256" s="60">
        <f t="shared" si="66"/>
        <v>0</v>
      </c>
      <c r="I256" s="59">
        <f t="shared" si="59"/>
        <v>2887345.8239709367</v>
      </c>
      <c r="L256" s="12"/>
      <c r="M256" s="13">
        <f t="shared" si="57"/>
        <v>2029</v>
      </c>
      <c r="N256" s="60">
        <f t="shared" si="73"/>
        <v>1178844.8709744001</v>
      </c>
      <c r="O256" s="61">
        <f t="shared" si="74"/>
        <v>1263349.8796464002</v>
      </c>
      <c r="P256" s="61">
        <f t="shared" si="74"/>
        <v>1167929.6406876</v>
      </c>
      <c r="Q256" s="61">
        <f t="shared" si="74"/>
        <v>895048.88351760001</v>
      </c>
      <c r="R256" s="61">
        <f t="shared" si="74"/>
        <v>835543.27324440004</v>
      </c>
      <c r="S256" s="61">
        <f t="shared" si="72"/>
        <v>0</v>
      </c>
      <c r="T256" s="123">
        <f t="shared" si="61"/>
        <v>5340716.5480703991</v>
      </c>
    </row>
    <row r="257" spans="1:20">
      <c r="A257" s="12"/>
      <c r="B257" s="13">
        <f t="shared" si="56"/>
        <v>2030</v>
      </c>
      <c r="C257" s="60">
        <f t="shared" si="62"/>
        <v>545300.20189675211</v>
      </c>
      <c r="D257" s="60">
        <f t="shared" si="63"/>
        <v>696772.48020140524</v>
      </c>
      <c r="E257" s="60">
        <f t="shared" si="64"/>
        <v>666478.02454047475</v>
      </c>
      <c r="F257" s="60">
        <f t="shared" si="65"/>
        <v>414024.22736605234</v>
      </c>
      <c r="G257" s="60">
        <f t="shared" si="66"/>
        <v>570545.58161419421</v>
      </c>
      <c r="H257" s="60">
        <f t="shared" si="66"/>
        <v>0</v>
      </c>
      <c r="I257" s="59">
        <f t="shared" si="59"/>
        <v>2893120.5156188784</v>
      </c>
      <c r="L257" s="12"/>
      <c r="M257" s="13">
        <f t="shared" si="57"/>
        <v>2030</v>
      </c>
      <c r="N257" s="60">
        <f t="shared" si="73"/>
        <v>1181202.5607163489</v>
      </c>
      <c r="O257" s="61">
        <f t="shared" si="74"/>
        <v>1265876.5794056931</v>
      </c>
      <c r="P257" s="61">
        <f t="shared" si="74"/>
        <v>1170265.4999689753</v>
      </c>
      <c r="Q257" s="61">
        <f t="shared" si="74"/>
        <v>896838.98128463526</v>
      </c>
      <c r="R257" s="61">
        <f t="shared" si="74"/>
        <v>837214.35979088885</v>
      </c>
      <c r="S257" s="61">
        <f t="shared" si="72"/>
        <v>0</v>
      </c>
      <c r="T257" s="123">
        <f t="shared" si="61"/>
        <v>5351397.9811665416</v>
      </c>
    </row>
    <row r="258" spans="1:20">
      <c r="A258" s="12"/>
      <c r="B258" s="13">
        <f t="shared" si="56"/>
        <v>2031</v>
      </c>
      <c r="C258" s="60">
        <f t="shared" si="62"/>
        <v>546390.80230054562</v>
      </c>
      <c r="D258" s="60">
        <f>1.002*D257</f>
        <v>698166.02516180801</v>
      </c>
      <c r="E258" s="60">
        <f t="shared" si="64"/>
        <v>667810.98058955569</v>
      </c>
      <c r="F258" s="60">
        <f t="shared" si="65"/>
        <v>414852.27582078445</v>
      </c>
      <c r="G258" s="60">
        <f t="shared" si="66"/>
        <v>571686.67277742259</v>
      </c>
      <c r="H258" s="60">
        <f t="shared" si="66"/>
        <v>0</v>
      </c>
      <c r="I258" s="59">
        <f t="shared" si="59"/>
        <v>2898906.7566501163</v>
      </c>
      <c r="L258" s="12"/>
      <c r="M258" s="13">
        <f t="shared" si="57"/>
        <v>2031</v>
      </c>
      <c r="N258" s="60">
        <f t="shared" si="73"/>
        <v>1183564.9658377816</v>
      </c>
      <c r="O258" s="61">
        <f t="shared" si="74"/>
        <v>1268408.3325645046</v>
      </c>
      <c r="P258" s="61">
        <f t="shared" si="74"/>
        <v>1172606.0309689133</v>
      </c>
      <c r="Q258" s="61">
        <f t="shared" si="74"/>
        <v>898632.65924720454</v>
      </c>
      <c r="R258" s="61">
        <f t="shared" si="74"/>
        <v>838888.78851047065</v>
      </c>
      <c r="S258" s="61">
        <f t="shared" si="72"/>
        <v>0</v>
      </c>
      <c r="T258" s="123">
        <f t="shared" si="61"/>
        <v>5362100.7771288743</v>
      </c>
    </row>
    <row r="259" spans="1:20">
      <c r="A259" s="12"/>
      <c r="B259" s="13">
        <f t="shared" si="56"/>
        <v>2032</v>
      </c>
      <c r="C259" s="60">
        <f t="shared" si="62"/>
        <v>547483.58390514669</v>
      </c>
      <c r="D259" s="60">
        <f t="shared" si="63"/>
        <v>699562.35721213161</v>
      </c>
      <c r="E259" s="60">
        <f t="shared" si="64"/>
        <v>669146.60255073477</v>
      </c>
      <c r="F259" s="60">
        <f t="shared" si="65"/>
        <v>415681.98037242604</v>
      </c>
      <c r="G259" s="60">
        <f t="shared" si="66"/>
        <v>572830.04612297739</v>
      </c>
      <c r="H259" s="60">
        <f t="shared" si="66"/>
        <v>0</v>
      </c>
      <c r="I259" s="59">
        <f t="shared" si="59"/>
        <v>2904704.5701634167</v>
      </c>
      <c r="L259" s="12"/>
      <c r="M259" s="13">
        <f t="shared" si="57"/>
        <v>2032</v>
      </c>
      <c r="N259" s="60">
        <f t="shared" si="73"/>
        <v>1185932.0957694571</v>
      </c>
      <c r="O259" s="61">
        <f t="shared" si="74"/>
        <v>1270945.1492296336</v>
      </c>
      <c r="P259" s="61">
        <f t="shared" si="74"/>
        <v>1174951.2430308512</v>
      </c>
      <c r="Q259" s="61">
        <f t="shared" si="74"/>
        <v>900429.92456569895</v>
      </c>
      <c r="R259" s="61">
        <f t="shared" si="74"/>
        <v>840566.56608749158</v>
      </c>
      <c r="S259" s="61">
        <f t="shared" si="72"/>
        <v>0</v>
      </c>
      <c r="T259" s="123">
        <f t="shared" si="61"/>
        <v>5372824.9786831327</v>
      </c>
    </row>
    <row r="260" spans="1:20">
      <c r="A260" s="12"/>
      <c r="B260" s="13">
        <f t="shared" si="56"/>
        <v>2033</v>
      </c>
      <c r="C260" s="60">
        <f t="shared" si="62"/>
        <v>548578.55107295699</v>
      </c>
      <c r="D260" s="60">
        <f t="shared" si="63"/>
        <v>700961.48192655586</v>
      </c>
      <c r="E260" s="60">
        <f t="shared" si="64"/>
        <v>670484.89575583627</v>
      </c>
      <c r="F260" s="60">
        <f t="shared" si="65"/>
        <v>416513.34433317091</v>
      </c>
      <c r="G260" s="60">
        <f t="shared" si="66"/>
        <v>573975.7062152233</v>
      </c>
      <c r="H260" s="60">
        <f t="shared" si="66"/>
        <v>0</v>
      </c>
      <c r="I260" s="59">
        <f t="shared" si="59"/>
        <v>2910513.9793037432</v>
      </c>
      <c r="L260" s="12"/>
      <c r="M260" s="13">
        <f t="shared" si="57"/>
        <v>2033</v>
      </c>
      <c r="N260" s="60">
        <f t="shared" si="73"/>
        <v>1188303.9599609959</v>
      </c>
      <c r="O260" s="61">
        <f t="shared" si="74"/>
        <v>1273487.0395280928</v>
      </c>
      <c r="P260" s="61">
        <f t="shared" si="74"/>
        <v>1177301.1455169129</v>
      </c>
      <c r="Q260" s="61">
        <f t="shared" si="74"/>
        <v>902230.78441483038</v>
      </c>
      <c r="R260" s="61">
        <f t="shared" si="74"/>
        <v>842247.69921966654</v>
      </c>
      <c r="S260" s="61">
        <f t="shared" si="72"/>
        <v>0</v>
      </c>
      <c r="T260" s="123">
        <f t="shared" si="61"/>
        <v>5383570.628640498</v>
      </c>
    </row>
    <row r="261" spans="1:20">
      <c r="A261" s="12"/>
      <c r="B261" s="13">
        <f t="shared" si="56"/>
        <v>2034</v>
      </c>
      <c r="C261" s="60">
        <f t="shared" si="62"/>
        <v>549675.70817510295</v>
      </c>
      <c r="D261" s="60">
        <f t="shared" si="63"/>
        <v>702363.40489040897</v>
      </c>
      <c r="E261" s="60">
        <f t="shared" si="64"/>
        <v>671825.86554734793</v>
      </c>
      <c r="F261" s="60">
        <f t="shared" si="65"/>
        <v>417346.37102183723</v>
      </c>
      <c r="G261" s="60">
        <f t="shared" si="66"/>
        <v>575123.6576276538</v>
      </c>
      <c r="H261" s="60">
        <f t="shared" si="66"/>
        <v>0</v>
      </c>
      <c r="I261" s="59">
        <f t="shared" si="59"/>
        <v>2916335.0072623505</v>
      </c>
      <c r="L261" s="12"/>
      <c r="M261" s="13">
        <f t="shared" si="57"/>
        <v>2034</v>
      </c>
      <c r="N261" s="60">
        <f t="shared" si="73"/>
        <v>1190680.567880918</v>
      </c>
      <c r="O261" s="61">
        <f t="shared" si="74"/>
        <v>1276034.013607149</v>
      </c>
      <c r="P261" s="61">
        <f t="shared" si="74"/>
        <v>1179655.7478079468</v>
      </c>
      <c r="Q261" s="61">
        <f t="shared" si="74"/>
        <v>904035.2459836601</v>
      </c>
      <c r="R261" s="61">
        <f t="shared" si="74"/>
        <v>843932.19461810589</v>
      </c>
      <c r="S261" s="61">
        <f t="shared" si="72"/>
        <v>0</v>
      </c>
      <c r="T261" s="123">
        <f t="shared" si="61"/>
        <v>5394337.7698977804</v>
      </c>
    </row>
    <row r="262" spans="1:20">
      <c r="A262" s="12"/>
      <c r="B262" s="13">
        <f t="shared" si="56"/>
        <v>2035</v>
      </c>
      <c r="C262" s="60">
        <f t="shared" si="62"/>
        <v>550775.05959145317</v>
      </c>
      <c r="D262" s="60">
        <f t="shared" si="63"/>
        <v>703768.13170018978</v>
      </c>
      <c r="E262" s="60">
        <f t="shared" si="64"/>
        <v>673169.51727844262</v>
      </c>
      <c r="F262" s="60">
        <f t="shared" si="65"/>
        <v>418181.06376388093</v>
      </c>
      <c r="G262" s="60">
        <f t="shared" si="66"/>
        <v>576273.90494290914</v>
      </c>
      <c r="H262" s="60">
        <f t="shared" si="66"/>
        <v>0</v>
      </c>
      <c r="I262" s="59">
        <f t="shared" si="59"/>
        <v>2922167.6772768758</v>
      </c>
      <c r="L262" s="12"/>
      <c r="M262" s="13">
        <f t="shared" si="57"/>
        <v>2035</v>
      </c>
      <c r="N262" s="60">
        <f t="shared" si="73"/>
        <v>1193061.92901668</v>
      </c>
      <c r="O262" s="61">
        <f t="shared" si="74"/>
        <v>1278586.0816343634</v>
      </c>
      <c r="P262" s="61">
        <f t="shared" si="74"/>
        <v>1182015.0593035626</v>
      </c>
      <c r="Q262" s="61">
        <f t="shared" si="74"/>
        <v>905843.31647562748</v>
      </c>
      <c r="R262" s="61">
        <f t="shared" si="74"/>
        <v>845620.05900734209</v>
      </c>
      <c r="S262" s="61">
        <f t="shared" si="72"/>
        <v>0</v>
      </c>
      <c r="T262" s="123">
        <f t="shared" si="61"/>
        <v>5405126.4454375757</v>
      </c>
    </row>
    <row r="263" spans="1:20">
      <c r="A263" s="12"/>
      <c r="B263" s="13">
        <f t="shared" si="56"/>
        <v>2036</v>
      </c>
      <c r="C263" s="60">
        <f t="shared" si="62"/>
        <v>551876.60971063608</v>
      </c>
      <c r="D263" s="60">
        <f t="shared" si="63"/>
        <v>705175.66796359012</v>
      </c>
      <c r="E263" s="60">
        <f t="shared" si="64"/>
        <v>674515.8563129995</v>
      </c>
      <c r="F263" s="60">
        <f t="shared" si="65"/>
        <v>419017.4258914087</v>
      </c>
      <c r="G263" s="60">
        <f t="shared" si="66"/>
        <v>577426.45275279495</v>
      </c>
      <c r="H263" s="60">
        <f t="shared" si="66"/>
        <v>0</v>
      </c>
      <c r="I263" s="59">
        <f t="shared" si="59"/>
        <v>2928012.0126314294</v>
      </c>
      <c r="L263" s="12"/>
      <c r="M263" s="13">
        <f t="shared" si="57"/>
        <v>2036</v>
      </c>
      <c r="N263" s="60">
        <f t="shared" si="73"/>
        <v>1195448.0528747134</v>
      </c>
      <c r="O263" s="61">
        <f t="shared" si="74"/>
        <v>1281143.2537976322</v>
      </c>
      <c r="P263" s="61">
        <f t="shared" si="74"/>
        <v>1184379.0894221698</v>
      </c>
      <c r="Q263" s="61">
        <f t="shared" si="74"/>
        <v>907655.00310857873</v>
      </c>
      <c r="R263" s="61">
        <f t="shared" si="74"/>
        <v>847311.29912535683</v>
      </c>
      <c r="S263" s="61">
        <f t="shared" si="72"/>
        <v>0</v>
      </c>
      <c r="T263" s="123">
        <f t="shared" si="61"/>
        <v>5415936.6983284513</v>
      </c>
    </row>
    <row r="264" spans="1:20">
      <c r="A264" s="12"/>
      <c r="B264" s="13">
        <f t="shared" si="56"/>
        <v>2037</v>
      </c>
      <c r="C264" s="60">
        <f t="shared" si="62"/>
        <v>552980.36293005734</v>
      </c>
      <c r="D264" s="60">
        <f t="shared" si="63"/>
        <v>706586.01929951727</v>
      </c>
      <c r="E264" s="60">
        <f t="shared" si="64"/>
        <v>675864.88802562549</v>
      </c>
      <c r="F264" s="60">
        <f t="shared" si="65"/>
        <v>419855.46074319154</v>
      </c>
      <c r="G264" s="60">
        <f t="shared" si="66"/>
        <v>578581.30565830052</v>
      </c>
      <c r="H264" s="60">
        <f t="shared" si="66"/>
        <v>0</v>
      </c>
      <c r="I264" s="59">
        <f t="shared" si="59"/>
        <v>2933868.0366566922</v>
      </c>
      <c r="L264" s="12"/>
      <c r="M264" s="13">
        <f t="shared" si="57"/>
        <v>2037</v>
      </c>
      <c r="N264" s="60">
        <f t="shared" si="73"/>
        <v>1197838.948980463</v>
      </c>
      <c r="O264" s="61">
        <f t="shared" si="74"/>
        <v>1283705.5403052275</v>
      </c>
      <c r="P264" s="61">
        <f t="shared" si="74"/>
        <v>1186747.8476010142</v>
      </c>
      <c r="Q264" s="61">
        <f t="shared" si="74"/>
        <v>909470.31311479595</v>
      </c>
      <c r="R264" s="61">
        <f t="shared" si="74"/>
        <v>849005.92172360758</v>
      </c>
      <c r="S264" s="61">
        <f t="shared" si="72"/>
        <v>0</v>
      </c>
      <c r="T264" s="123">
        <f t="shared" si="61"/>
        <v>5426768.5717251087</v>
      </c>
    </row>
    <row r="265" spans="1:20">
      <c r="A265" s="12"/>
      <c r="B265" s="13">
        <f t="shared" si="56"/>
        <v>2038</v>
      </c>
      <c r="C265" s="60">
        <f t="shared" si="62"/>
        <v>554086.32365591743</v>
      </c>
      <c r="D265" s="60">
        <f t="shared" si="63"/>
        <v>707999.1913381163</v>
      </c>
      <c r="E265" s="60">
        <f t="shared" si="64"/>
        <v>677216.61780167674</v>
      </c>
      <c r="F265" s="60">
        <f t="shared" si="65"/>
        <v>420695.17166467791</v>
      </c>
      <c r="G265" s="60">
        <f t="shared" si="66"/>
        <v>579738.46826961718</v>
      </c>
      <c r="H265" s="60">
        <f t="shared" si="66"/>
        <v>0</v>
      </c>
      <c r="I265" s="59">
        <f t="shared" si="59"/>
        <v>2939735.7727300054</v>
      </c>
      <c r="L265" s="12"/>
      <c r="M265" s="13">
        <f t="shared" si="57"/>
        <v>2038</v>
      </c>
      <c r="N265" s="60">
        <f t="shared" si="73"/>
        <v>1200234.6268784238</v>
      </c>
      <c r="O265" s="61">
        <f t="shared" si="74"/>
        <v>1286272.951385838</v>
      </c>
      <c r="P265" s="61">
        <f t="shared" si="74"/>
        <v>1189121.3432962163</v>
      </c>
      <c r="Q265" s="61">
        <f t="shared" si="74"/>
        <v>911289.25374102558</v>
      </c>
      <c r="R265" s="61">
        <f t="shared" si="74"/>
        <v>850703.9335670548</v>
      </c>
      <c r="S265" s="61">
        <f t="shared" si="72"/>
        <v>0</v>
      </c>
      <c r="T265" s="123">
        <f t="shared" si="61"/>
        <v>5437622.108868558</v>
      </c>
    </row>
    <row r="266" spans="1:20">
      <c r="A266" s="12"/>
      <c r="B266" s="13">
        <f t="shared" si="56"/>
        <v>2039</v>
      </c>
      <c r="C266" s="60">
        <f t="shared" si="62"/>
        <v>555194.49630322924</v>
      </c>
      <c r="D266" s="60">
        <f t="shared" si="63"/>
        <v>709415.18972079258</v>
      </c>
      <c r="E266" s="60">
        <f t="shared" si="64"/>
        <v>678571.05103728012</v>
      </c>
      <c r="F266" s="60">
        <f t="shared" si="65"/>
        <v>421536.56200800725</v>
      </c>
      <c r="G266" s="60">
        <f t="shared" si="66"/>
        <v>580897.94520615647</v>
      </c>
      <c r="H266" s="60">
        <f t="shared" si="66"/>
        <v>0</v>
      </c>
      <c r="I266" s="59">
        <f t="shared" si="59"/>
        <v>2945615.2442754656</v>
      </c>
      <c r="L266" s="12"/>
      <c r="M266" s="13">
        <f t="shared" si="57"/>
        <v>2039</v>
      </c>
      <c r="N266" s="60">
        <f t="shared" si="73"/>
        <v>1202635.0961321807</v>
      </c>
      <c r="O266" s="61">
        <f t="shared" si="74"/>
        <v>1288845.4972886096</v>
      </c>
      <c r="P266" s="61">
        <f t="shared" si="74"/>
        <v>1191499.5859828088</v>
      </c>
      <c r="Q266" s="61">
        <f t="shared" si="74"/>
        <v>913111.83224850765</v>
      </c>
      <c r="R266" s="61">
        <f t="shared" si="74"/>
        <v>852405.34143418889</v>
      </c>
      <c r="S266" s="61">
        <f t="shared" si="72"/>
        <v>0</v>
      </c>
      <c r="T266" s="123">
        <f t="shared" si="61"/>
        <v>5448497.3530862965</v>
      </c>
    </row>
    <row r="267" spans="1:20">
      <c r="A267" s="12"/>
      <c r="B267" s="13">
        <f t="shared" si="56"/>
        <v>2040</v>
      </c>
      <c r="C267" s="60">
        <f t="shared" si="62"/>
        <v>556304.88529583567</v>
      </c>
      <c r="D267" s="60">
        <f t="shared" si="63"/>
        <v>710834.02010023419</v>
      </c>
      <c r="E267" s="60">
        <f t="shared" si="64"/>
        <v>679928.1931393547</v>
      </c>
      <c r="F267" s="60">
        <f t="shared" si="65"/>
        <v>422379.63513202325</v>
      </c>
      <c r="G267" s="60">
        <f t="shared" si="66"/>
        <v>582059.74109656876</v>
      </c>
      <c r="H267" s="60">
        <f t="shared" si="66"/>
        <v>0</v>
      </c>
      <c r="I267" s="59">
        <f t="shared" si="59"/>
        <v>2951506.4747640165</v>
      </c>
      <c r="L267" s="12"/>
      <c r="M267" s="13">
        <f t="shared" si="57"/>
        <v>2040</v>
      </c>
      <c r="N267" s="60">
        <f t="shared" si="73"/>
        <v>1205040.366324445</v>
      </c>
      <c r="O267" s="61">
        <f t="shared" si="74"/>
        <v>1291423.1882831869</v>
      </c>
      <c r="P267" s="61">
        <f t="shared" si="74"/>
        <v>1193882.5851547744</v>
      </c>
      <c r="Q267" s="61">
        <f t="shared" si="74"/>
        <v>914938.05591300467</v>
      </c>
      <c r="R267" s="61">
        <f t="shared" si="74"/>
        <v>854110.15211705724</v>
      </c>
      <c r="S267" s="61">
        <v>60467.975371119093</v>
      </c>
      <c r="T267" s="123">
        <f t="shared" si="61"/>
        <v>5519862.3231635876</v>
      </c>
    </row>
    <row r="268" spans="1:20">
      <c r="A268" s="12"/>
      <c r="B268" s="13">
        <f t="shared" si="56"/>
        <v>2041</v>
      </c>
      <c r="C268" s="60">
        <f t="shared" si="62"/>
        <v>557417.49506642739</v>
      </c>
      <c r="D268" s="60">
        <f t="shared" si="63"/>
        <v>712255.68814043468</v>
      </c>
      <c r="E268" s="60">
        <f t="shared" si="64"/>
        <v>681288.04952563345</v>
      </c>
      <c r="F268" s="60">
        <f t="shared" si="65"/>
        <v>423224.39440228732</v>
      </c>
      <c r="G268" s="60">
        <f t="shared" si="66"/>
        <v>583223.8605787619</v>
      </c>
      <c r="H268" s="60">
        <f t="shared" si="66"/>
        <v>0</v>
      </c>
      <c r="I268" s="59">
        <f t="shared" si="59"/>
        <v>2957409.4877135446</v>
      </c>
      <c r="L268" s="12"/>
      <c r="M268" s="13">
        <f t="shared" si="57"/>
        <v>2041</v>
      </c>
      <c r="N268" s="60">
        <f t="shared" si="73"/>
        <v>1207450.447057094</v>
      </c>
      <c r="O268" s="61">
        <f t="shared" si="74"/>
        <v>1294006.0346597533</v>
      </c>
      <c r="P268" s="61">
        <f t="shared" si="74"/>
        <v>1196270.3503250838</v>
      </c>
      <c r="Q268" s="61">
        <f t="shared" si="74"/>
        <v>916767.93202483072</v>
      </c>
      <c r="R268" s="61">
        <f t="shared" si="74"/>
        <v>855818.37242129131</v>
      </c>
      <c r="S268" s="61">
        <v>60588.911321861335</v>
      </c>
      <c r="T268" s="123">
        <f t="shared" si="61"/>
        <v>5530902.0478099147</v>
      </c>
    </row>
    <row r="269" spans="1:20">
      <c r="A269" s="12"/>
      <c r="B269" s="13">
        <f t="shared" si="56"/>
        <v>2042</v>
      </c>
      <c r="C269" s="60">
        <f t="shared" si="62"/>
        <v>558532.33005656023</v>
      </c>
      <c r="D269" s="60">
        <f t="shared" si="63"/>
        <v>713680.1995167156</v>
      </c>
      <c r="E269" s="60">
        <f t="shared" si="64"/>
        <v>682650.62562468473</v>
      </c>
      <c r="F269" s="60">
        <f t="shared" si="65"/>
        <v>424070.8431910919</v>
      </c>
      <c r="G269" s="60">
        <f t="shared" si="66"/>
        <v>584390.30829991947</v>
      </c>
      <c r="H269" s="60">
        <f t="shared" si="66"/>
        <v>0</v>
      </c>
      <c r="I269" s="59">
        <f t="shared" si="59"/>
        <v>2963324.3066889718</v>
      </c>
      <c r="L269" s="12"/>
      <c r="M269" s="13">
        <f t="shared" si="57"/>
        <v>2042</v>
      </c>
      <c r="N269" s="60">
        <f t="shared" si="73"/>
        <v>1209865.3479512082</v>
      </c>
      <c r="O269" s="61">
        <f t="shared" si="74"/>
        <v>1296594.0467290729</v>
      </c>
      <c r="P269" s="61">
        <f t="shared" si="74"/>
        <v>1198662.8910257339</v>
      </c>
      <c r="Q269" s="61">
        <f t="shared" si="74"/>
        <v>918601.4678888804</v>
      </c>
      <c r="R269" s="61">
        <f t="shared" si="74"/>
        <v>857530.00916613394</v>
      </c>
      <c r="S269" s="61">
        <v>60710.089144505058</v>
      </c>
      <c r="T269" s="123">
        <f t="shared" si="61"/>
        <v>5541963.851905534</v>
      </c>
    </row>
    <row r="270" spans="1:20">
      <c r="A270" s="12"/>
      <c r="B270" s="13">
        <f t="shared" si="56"/>
        <v>2043</v>
      </c>
      <c r="C270" s="60">
        <f t="shared" si="62"/>
        <v>559649.3947166733</v>
      </c>
      <c r="D270" s="60">
        <f t="shared" si="63"/>
        <v>715107.55991574901</v>
      </c>
      <c r="E270" s="60">
        <f t="shared" si="64"/>
        <v>684015.92687593412</v>
      </c>
      <c r="F270" s="60">
        <f t="shared" si="65"/>
        <v>424918.98487747408</v>
      </c>
      <c r="G270" s="60">
        <f t="shared" si="66"/>
        <v>585559.08891651931</v>
      </c>
      <c r="H270" s="60">
        <f t="shared" si="66"/>
        <v>0</v>
      </c>
      <c r="I270" s="59">
        <f t="shared" si="59"/>
        <v>2969250.9553023498</v>
      </c>
      <c r="L270" s="12"/>
      <c r="M270" s="13">
        <f t="shared" si="57"/>
        <v>2043</v>
      </c>
      <c r="N270" s="60">
        <f t="shared" si="73"/>
        <v>1212285.0786471106</v>
      </c>
      <c r="O270" s="61">
        <f t="shared" ref="O270:R271" si="75">O269*1.002</f>
        <v>1299187.234822531</v>
      </c>
      <c r="P270" s="61">
        <f t="shared" si="75"/>
        <v>1201060.2168077854</v>
      </c>
      <c r="Q270" s="61">
        <f t="shared" si="75"/>
        <v>920438.67082465813</v>
      </c>
      <c r="R270" s="61">
        <f t="shared" si="75"/>
        <v>859245.06918446627</v>
      </c>
      <c r="S270" s="61">
        <v>60831.509322794067</v>
      </c>
      <c r="T270" s="123">
        <f t="shared" si="61"/>
        <v>5553047.7796093458</v>
      </c>
    </row>
    <row r="271" spans="1:20">
      <c r="A271" s="43"/>
      <c r="B271" s="13">
        <f t="shared" si="56"/>
        <v>2044</v>
      </c>
      <c r="C271" s="60">
        <f t="shared" si="62"/>
        <v>560768.69350610662</v>
      </c>
      <c r="D271" s="60">
        <f t="shared" si="63"/>
        <v>716537.7750355805</v>
      </c>
      <c r="E271" s="60">
        <f t="shared" si="64"/>
        <v>685383.95872968598</v>
      </c>
      <c r="F271" s="60">
        <f t="shared" si="65"/>
        <v>425768.82284722902</v>
      </c>
      <c r="G271" s="60">
        <f t="shared" si="66"/>
        <v>586730.20709435234</v>
      </c>
      <c r="H271" s="60">
        <f t="shared" si="66"/>
        <v>0</v>
      </c>
      <c r="I271" s="59">
        <f t="shared" si="59"/>
        <v>2975189.4572129543</v>
      </c>
      <c r="L271" s="43"/>
      <c r="M271" s="13">
        <f t="shared" si="57"/>
        <v>2044</v>
      </c>
      <c r="N271" s="124">
        <f t="shared" si="73"/>
        <v>1214709.6488044048</v>
      </c>
      <c r="O271" s="125">
        <f t="shared" si="75"/>
        <v>1301785.6092921761</v>
      </c>
      <c r="P271" s="125">
        <f t="shared" si="75"/>
        <v>1203462.337241401</v>
      </c>
      <c r="Q271" s="125">
        <f t="shared" si="75"/>
        <v>922279.54816630739</v>
      </c>
      <c r="R271" s="125">
        <f t="shared" si="75"/>
        <v>860963.55932283518</v>
      </c>
      <c r="S271" s="125">
        <v>60953.172341439655</v>
      </c>
      <c r="T271" s="126">
        <f t="shared" si="61"/>
        <v>5564153.8751685638</v>
      </c>
    </row>
    <row r="273" spans="1:37" s="2" customFormat="1" ht="27" customHeight="1">
      <c r="A273" s="1" t="s">
        <v>83</v>
      </c>
      <c r="E273" s="3"/>
    </row>
    <row r="275" spans="1:37" s="102" customFormat="1">
      <c r="A275" s="101" t="s">
        <v>36</v>
      </c>
    </row>
    <row r="277" spans="1:37">
      <c r="A277" s="4" t="s">
        <v>84</v>
      </c>
      <c r="J277" s="4" t="s">
        <v>85</v>
      </c>
      <c r="S277" s="4" t="s">
        <v>86</v>
      </c>
      <c r="AB277" s="4" t="s">
        <v>87</v>
      </c>
    </row>
    <row r="278" spans="1:37">
      <c r="A278" s="134" t="s">
        <v>5</v>
      </c>
      <c r="B278" s="134"/>
      <c r="C278" s="6">
        <v>1</v>
      </c>
      <c r="D278" s="6">
        <v>2</v>
      </c>
      <c r="E278" s="6">
        <v>3</v>
      </c>
      <c r="F278" s="6">
        <v>4</v>
      </c>
      <c r="G278" s="6">
        <v>5</v>
      </c>
      <c r="H278" s="6">
        <v>6</v>
      </c>
      <c r="J278" s="143" t="s">
        <v>5</v>
      </c>
      <c r="K278" s="144"/>
      <c r="L278" s="6">
        <v>1</v>
      </c>
      <c r="M278" s="6">
        <v>2</v>
      </c>
      <c r="N278" s="6">
        <v>3</v>
      </c>
      <c r="O278" s="6">
        <v>4</v>
      </c>
      <c r="P278" s="6">
        <v>5</v>
      </c>
      <c r="Q278" s="6">
        <v>6</v>
      </c>
      <c r="S278" s="143" t="s">
        <v>5</v>
      </c>
      <c r="T278" s="144"/>
      <c r="U278" s="6">
        <v>1</v>
      </c>
      <c r="V278" s="6">
        <v>2</v>
      </c>
      <c r="W278" s="6">
        <v>3</v>
      </c>
      <c r="X278" s="6">
        <v>4</v>
      </c>
      <c r="Y278" s="6">
        <v>5</v>
      </c>
      <c r="Z278" s="6">
        <v>6</v>
      </c>
      <c r="AB278" s="143" t="s">
        <v>5</v>
      </c>
      <c r="AC278" s="144"/>
      <c r="AD278" s="6">
        <v>1</v>
      </c>
      <c r="AE278" s="6">
        <v>2</v>
      </c>
      <c r="AF278" s="6">
        <v>3</v>
      </c>
      <c r="AG278" s="6">
        <v>4</v>
      </c>
      <c r="AH278" s="6">
        <v>5</v>
      </c>
      <c r="AI278" s="6">
        <v>6</v>
      </c>
    </row>
    <row r="279" spans="1:37" ht="31.5">
      <c r="A279" s="134" t="s">
        <v>6</v>
      </c>
      <c r="B279" s="134"/>
      <c r="C279" s="35" t="s">
        <v>89</v>
      </c>
      <c r="D279" s="35" t="s">
        <v>90</v>
      </c>
      <c r="E279" s="35" t="s">
        <v>91</v>
      </c>
      <c r="F279" s="35" t="s">
        <v>92</v>
      </c>
      <c r="G279" s="35" t="s">
        <v>93</v>
      </c>
      <c r="H279" s="35" t="s">
        <v>322</v>
      </c>
      <c r="J279" s="134" t="s">
        <v>6</v>
      </c>
      <c r="K279" s="134"/>
      <c r="L279" s="35" t="s">
        <v>89</v>
      </c>
      <c r="M279" s="35" t="s">
        <v>90</v>
      </c>
      <c r="N279" s="35" t="s">
        <v>91</v>
      </c>
      <c r="O279" s="35" t="s">
        <v>92</v>
      </c>
      <c r="P279" s="35" t="s">
        <v>93</v>
      </c>
      <c r="Q279" s="35" t="s">
        <v>322</v>
      </c>
      <c r="S279" s="134" t="s">
        <v>6</v>
      </c>
      <c r="T279" s="134"/>
      <c r="U279" s="35" t="s">
        <v>89</v>
      </c>
      <c r="V279" s="35" t="s">
        <v>90</v>
      </c>
      <c r="W279" s="35" t="s">
        <v>91</v>
      </c>
      <c r="X279" s="35" t="s">
        <v>92</v>
      </c>
      <c r="Y279" s="35" t="s">
        <v>93</v>
      </c>
      <c r="Z279" s="35" t="s">
        <v>322</v>
      </c>
      <c r="AB279" s="134" t="s">
        <v>6</v>
      </c>
      <c r="AC279" s="134"/>
      <c r="AD279" s="35" t="s">
        <v>89</v>
      </c>
      <c r="AE279" s="35" t="s">
        <v>90</v>
      </c>
      <c r="AF279" s="35" t="s">
        <v>91</v>
      </c>
      <c r="AG279" s="35" t="s">
        <v>92</v>
      </c>
      <c r="AH279" s="35" t="s">
        <v>93</v>
      </c>
      <c r="AI279" s="35" t="s">
        <v>322</v>
      </c>
    </row>
    <row r="280" spans="1:37" ht="21">
      <c r="A280" s="8"/>
      <c r="B280" s="9" t="s">
        <v>22</v>
      </c>
      <c r="C280" s="36" t="s">
        <v>88</v>
      </c>
      <c r="D280" s="36" t="s">
        <v>88</v>
      </c>
      <c r="E280" s="36" t="s">
        <v>88</v>
      </c>
      <c r="F280" s="36" t="s">
        <v>88</v>
      </c>
      <c r="G280" s="36" t="s">
        <v>88</v>
      </c>
      <c r="H280" s="36" t="s">
        <v>88</v>
      </c>
      <c r="J280" s="8"/>
      <c r="K280" s="9" t="s">
        <v>22</v>
      </c>
      <c r="L280" s="36" t="s">
        <v>88</v>
      </c>
      <c r="M280" s="36" t="s">
        <v>88</v>
      </c>
      <c r="N280" s="36" t="s">
        <v>88</v>
      </c>
      <c r="O280" s="36" t="s">
        <v>88</v>
      </c>
      <c r="P280" s="36" t="s">
        <v>88</v>
      </c>
      <c r="Q280" s="36" t="s">
        <v>88</v>
      </c>
      <c r="S280" s="8"/>
      <c r="T280" s="9" t="s">
        <v>22</v>
      </c>
      <c r="U280" s="36" t="s">
        <v>88</v>
      </c>
      <c r="V280" s="36" t="s">
        <v>88</v>
      </c>
      <c r="W280" s="36" t="s">
        <v>88</v>
      </c>
      <c r="X280" s="36" t="s">
        <v>88</v>
      </c>
      <c r="Y280" s="36" t="s">
        <v>88</v>
      </c>
      <c r="Z280" s="36" t="s">
        <v>88</v>
      </c>
      <c r="AB280" s="8"/>
      <c r="AC280" s="9" t="s">
        <v>22</v>
      </c>
      <c r="AD280" s="36" t="s">
        <v>88</v>
      </c>
      <c r="AE280" s="36" t="s">
        <v>88</v>
      </c>
      <c r="AF280" s="36" t="s">
        <v>88</v>
      </c>
      <c r="AG280" s="36" t="s">
        <v>88</v>
      </c>
      <c r="AH280" s="36" t="s">
        <v>88</v>
      </c>
      <c r="AI280" s="36" t="s">
        <v>88</v>
      </c>
    </row>
    <row r="281" spans="1:37">
      <c r="A281" s="12"/>
      <c r="B281" s="13">
        <f>B242</f>
        <v>2015</v>
      </c>
      <c r="C281" s="83">
        <f>AD388</f>
        <v>818736.65999999992</v>
      </c>
      <c r="D281" s="83">
        <f t="shared" ref="D281:H290" si="76">AE388</f>
        <v>2855760.3</v>
      </c>
      <c r="E281" s="83">
        <f t="shared" si="76"/>
        <v>1852046.6400000001</v>
      </c>
      <c r="F281" s="83">
        <f t="shared" si="76"/>
        <v>1881358.3800000001</v>
      </c>
      <c r="G281" s="83">
        <f t="shared" si="76"/>
        <v>1856030.76</v>
      </c>
      <c r="H281" s="83">
        <f t="shared" si="76"/>
        <v>0</v>
      </c>
      <c r="J281" s="12"/>
      <c r="K281" s="13">
        <f t="shared" ref="K281:K310" si="77">B281</f>
        <v>2015</v>
      </c>
      <c r="L281" s="83">
        <f t="shared" ref="L281:L290" si="78">C281*0.0186</f>
        <v>15228.501875999997</v>
      </c>
      <c r="M281" s="83">
        <f t="shared" ref="M281:M290" si="79">D281*0.0186</f>
        <v>53117.141579999989</v>
      </c>
      <c r="N281" s="83">
        <f t="shared" ref="N281:N290" si="80">E281*0.0186</f>
        <v>34448.067503999999</v>
      </c>
      <c r="O281" s="83">
        <f t="shared" ref="O281:O290" si="81">F281*0.0186</f>
        <v>34993.265868000002</v>
      </c>
      <c r="P281" s="83">
        <f t="shared" ref="P281:P290" si="82">G281*0.0186</f>
        <v>34522.172135999994</v>
      </c>
      <c r="Q281" s="83">
        <f t="shared" ref="Q281:Q290" si="83">H281*0.0186</f>
        <v>0</v>
      </c>
      <c r="S281" s="12"/>
      <c r="T281" s="13">
        <f t="shared" ref="T281:T310" si="84">K281</f>
        <v>2015</v>
      </c>
      <c r="U281" s="83">
        <f t="shared" ref="U281:U290" si="85">C281*0.008</f>
        <v>6549.8932799999993</v>
      </c>
      <c r="V281" s="83">
        <f t="shared" ref="V281:V290" si="86">D281*0.008</f>
        <v>22846.082399999999</v>
      </c>
      <c r="W281" s="83">
        <f t="shared" ref="W281:W290" si="87">E281*0.008</f>
        <v>14816.373120000002</v>
      </c>
      <c r="X281" s="83">
        <f t="shared" ref="X281:X290" si="88">F281*0.008</f>
        <v>15050.867040000001</v>
      </c>
      <c r="Y281" s="83">
        <f t="shared" ref="Y281:Y290" si="89">G281*0.008</f>
        <v>14848.246080000001</v>
      </c>
      <c r="Z281" s="83">
        <f t="shared" ref="Z281:Z290" si="90">H281*0.008</f>
        <v>0</v>
      </c>
      <c r="AB281" s="12"/>
      <c r="AC281" s="13">
        <f t="shared" ref="AC281:AC310" si="91">T281</f>
        <v>2015</v>
      </c>
      <c r="AD281" s="83">
        <f t="shared" ref="AD281:AD310" si="92">C281-L281-U281</f>
        <v>796958.26484399999</v>
      </c>
      <c r="AE281" s="83">
        <f t="shared" ref="AE281:AE310" si="93">D281-M281-V281</f>
        <v>2779797.0760199996</v>
      </c>
      <c r="AF281" s="83">
        <f t="shared" ref="AF281:AF310" si="94">E281-N281-W281</f>
        <v>1802782.1993760003</v>
      </c>
      <c r="AG281" s="83">
        <f t="shared" ref="AG281:AG310" si="95">F281-O281-X281</f>
        <v>1831314.2470920002</v>
      </c>
      <c r="AH281" s="83">
        <f t="shared" ref="AH281:AH310" si="96">G281-P281-Y281</f>
        <v>1806660.3417840002</v>
      </c>
      <c r="AI281" s="83">
        <f t="shared" ref="AI281:AI310" si="97">H281-Q281-Z281</f>
        <v>0</v>
      </c>
      <c r="AK281" s="103"/>
    </row>
    <row r="282" spans="1:37">
      <c r="A282" s="12"/>
      <c r="B282" s="13">
        <f t="shared" ref="B282:B310" si="98">B243</f>
        <v>2016</v>
      </c>
      <c r="C282" s="83">
        <f t="shared" ref="C282:C290" si="99">AD389</f>
        <v>831855.79800000007</v>
      </c>
      <c r="D282" s="83">
        <f t="shared" si="76"/>
        <v>2902004.55</v>
      </c>
      <c r="E282" s="83">
        <f t="shared" si="76"/>
        <v>1874272.3380000002</v>
      </c>
      <c r="F282" s="83">
        <f t="shared" si="76"/>
        <v>1912548.348</v>
      </c>
      <c r="G282" s="83">
        <f t="shared" si="76"/>
        <v>1878228</v>
      </c>
      <c r="H282" s="83">
        <f t="shared" si="76"/>
        <v>0</v>
      </c>
      <c r="J282" s="12"/>
      <c r="K282" s="13">
        <f t="shared" si="77"/>
        <v>2016</v>
      </c>
      <c r="L282" s="83">
        <f t="shared" si="78"/>
        <v>15472.5178428</v>
      </c>
      <c r="M282" s="83">
        <f t="shared" si="79"/>
        <v>53977.284629999995</v>
      </c>
      <c r="N282" s="83">
        <f t="shared" si="80"/>
        <v>34861.4654868</v>
      </c>
      <c r="O282" s="83">
        <f t="shared" si="81"/>
        <v>35573.399272799994</v>
      </c>
      <c r="P282" s="83">
        <f t="shared" si="82"/>
        <v>34935.040799999995</v>
      </c>
      <c r="Q282" s="83">
        <f t="shared" si="83"/>
        <v>0</v>
      </c>
      <c r="S282" s="12"/>
      <c r="T282" s="13">
        <f t="shared" si="84"/>
        <v>2016</v>
      </c>
      <c r="U282" s="83">
        <f t="shared" si="85"/>
        <v>6654.8463840000004</v>
      </c>
      <c r="V282" s="83">
        <f t="shared" si="86"/>
        <v>23216.036399999997</v>
      </c>
      <c r="W282" s="83">
        <f t="shared" si="87"/>
        <v>14994.178704000002</v>
      </c>
      <c r="X282" s="83">
        <f t="shared" si="88"/>
        <v>15300.386784</v>
      </c>
      <c r="Y282" s="83">
        <f t="shared" si="89"/>
        <v>15025.824000000001</v>
      </c>
      <c r="Z282" s="83">
        <f t="shared" si="90"/>
        <v>0</v>
      </c>
      <c r="AB282" s="12"/>
      <c r="AC282" s="13">
        <f t="shared" si="91"/>
        <v>2016</v>
      </c>
      <c r="AD282" s="83">
        <f t="shared" si="92"/>
        <v>809728.43377320003</v>
      </c>
      <c r="AE282" s="83">
        <f t="shared" si="93"/>
        <v>2824811.2289699996</v>
      </c>
      <c r="AF282" s="83">
        <f t="shared" si="94"/>
        <v>1824416.6938092001</v>
      </c>
      <c r="AG282" s="83">
        <f t="shared" si="95"/>
        <v>1861674.5619432</v>
      </c>
      <c r="AH282" s="83">
        <f t="shared" si="96"/>
        <v>1828267.1351999999</v>
      </c>
      <c r="AI282" s="83">
        <f t="shared" si="97"/>
        <v>0</v>
      </c>
    </row>
    <row r="283" spans="1:37">
      <c r="A283" s="12"/>
      <c r="B283" s="13">
        <f t="shared" si="98"/>
        <v>2017</v>
      </c>
      <c r="C283" s="83">
        <f t="shared" si="99"/>
        <v>844974.93599999999</v>
      </c>
      <c r="D283" s="83">
        <f t="shared" si="76"/>
        <v>2948248.8</v>
      </c>
      <c r="E283" s="83">
        <f t="shared" si="76"/>
        <v>1896498.0359999998</v>
      </c>
      <c r="F283" s="83">
        <f t="shared" si="76"/>
        <v>1943738.3160000001</v>
      </c>
      <c r="G283" s="83">
        <f t="shared" si="76"/>
        <v>1900425.24</v>
      </c>
      <c r="H283" s="83">
        <f t="shared" si="76"/>
        <v>0</v>
      </c>
      <c r="J283" s="12"/>
      <c r="K283" s="13">
        <f t="shared" si="77"/>
        <v>2017</v>
      </c>
      <c r="L283" s="83">
        <f t="shared" si="78"/>
        <v>15716.533809599998</v>
      </c>
      <c r="M283" s="83">
        <f t="shared" si="79"/>
        <v>54837.427679999993</v>
      </c>
      <c r="N283" s="83">
        <f t="shared" si="80"/>
        <v>35274.863469599994</v>
      </c>
      <c r="O283" s="83">
        <f t="shared" si="81"/>
        <v>36153.5326776</v>
      </c>
      <c r="P283" s="83">
        <f t="shared" si="82"/>
        <v>35347.909463999997</v>
      </c>
      <c r="Q283" s="83">
        <f t="shared" si="83"/>
        <v>0</v>
      </c>
      <c r="S283" s="12"/>
      <c r="T283" s="13">
        <f t="shared" si="84"/>
        <v>2017</v>
      </c>
      <c r="U283" s="83">
        <f t="shared" si="85"/>
        <v>6759.7994879999997</v>
      </c>
      <c r="V283" s="83">
        <f t="shared" si="86"/>
        <v>23585.990399999999</v>
      </c>
      <c r="W283" s="83">
        <f t="shared" si="87"/>
        <v>15171.984288</v>
      </c>
      <c r="X283" s="83">
        <f t="shared" si="88"/>
        <v>15549.906528000001</v>
      </c>
      <c r="Y283" s="83">
        <f t="shared" si="89"/>
        <v>15203.40192</v>
      </c>
      <c r="Z283" s="83">
        <f t="shared" si="90"/>
        <v>0</v>
      </c>
      <c r="AB283" s="12"/>
      <c r="AC283" s="13">
        <f t="shared" si="91"/>
        <v>2017</v>
      </c>
      <c r="AD283" s="83">
        <f t="shared" si="92"/>
        <v>822498.60270239995</v>
      </c>
      <c r="AE283" s="83">
        <f t="shared" si="93"/>
        <v>2869825.3819199996</v>
      </c>
      <c r="AF283" s="83">
        <f t="shared" si="94"/>
        <v>1846051.1882423998</v>
      </c>
      <c r="AG283" s="83">
        <f t="shared" si="95"/>
        <v>1892034.8767944002</v>
      </c>
      <c r="AH283" s="83">
        <f t="shared" si="96"/>
        <v>1849873.9286159999</v>
      </c>
      <c r="AI283" s="83">
        <f t="shared" si="97"/>
        <v>0</v>
      </c>
    </row>
    <row r="284" spans="1:37">
      <c r="A284" s="12"/>
      <c r="B284" s="13">
        <f t="shared" si="98"/>
        <v>2018</v>
      </c>
      <c r="C284" s="83">
        <f t="shared" si="99"/>
        <v>858094.07400000002</v>
      </c>
      <c r="D284" s="83">
        <f t="shared" si="76"/>
        <v>2994493.05</v>
      </c>
      <c r="E284" s="83">
        <f t="shared" si="76"/>
        <v>1918723.7339999999</v>
      </c>
      <c r="F284" s="83">
        <f t="shared" si="76"/>
        <v>1974928.284</v>
      </c>
      <c r="G284" s="83">
        <f t="shared" si="76"/>
        <v>1922622.48</v>
      </c>
      <c r="H284" s="83">
        <f t="shared" si="76"/>
        <v>0</v>
      </c>
      <c r="J284" s="12"/>
      <c r="K284" s="13">
        <f t="shared" si="77"/>
        <v>2018</v>
      </c>
      <c r="L284" s="83">
        <f t="shared" si="78"/>
        <v>15960.549776399999</v>
      </c>
      <c r="M284" s="83">
        <f t="shared" si="79"/>
        <v>55697.570729999992</v>
      </c>
      <c r="N284" s="83">
        <f t="shared" si="80"/>
        <v>35688.261452399995</v>
      </c>
      <c r="O284" s="83">
        <f t="shared" si="81"/>
        <v>36733.666082399999</v>
      </c>
      <c r="P284" s="83">
        <f t="shared" si="82"/>
        <v>35760.778127999998</v>
      </c>
      <c r="Q284" s="83">
        <f t="shared" si="83"/>
        <v>0</v>
      </c>
      <c r="S284" s="12"/>
      <c r="T284" s="13">
        <f t="shared" si="84"/>
        <v>2018</v>
      </c>
      <c r="U284" s="83">
        <f t="shared" si="85"/>
        <v>6864.7525920000007</v>
      </c>
      <c r="V284" s="83">
        <f t="shared" si="86"/>
        <v>23955.9444</v>
      </c>
      <c r="W284" s="83">
        <f t="shared" si="87"/>
        <v>15349.789871999999</v>
      </c>
      <c r="X284" s="83">
        <f t="shared" si="88"/>
        <v>15799.426272000001</v>
      </c>
      <c r="Y284" s="83">
        <f t="shared" si="89"/>
        <v>15380.97984</v>
      </c>
      <c r="Z284" s="83">
        <f t="shared" si="90"/>
        <v>0</v>
      </c>
      <c r="AB284" s="12"/>
      <c r="AC284" s="13">
        <f t="shared" si="91"/>
        <v>2018</v>
      </c>
      <c r="AD284" s="83">
        <f t="shared" si="92"/>
        <v>835268.7716316001</v>
      </c>
      <c r="AE284" s="83">
        <f t="shared" si="93"/>
        <v>2914839.5348700001</v>
      </c>
      <c r="AF284" s="83">
        <f t="shared" si="94"/>
        <v>1867685.6826756001</v>
      </c>
      <c r="AG284" s="83">
        <f t="shared" si="95"/>
        <v>1922395.1916456001</v>
      </c>
      <c r="AH284" s="83">
        <f t="shared" si="96"/>
        <v>1871480.7220320001</v>
      </c>
      <c r="AI284" s="83">
        <f t="shared" si="97"/>
        <v>0</v>
      </c>
    </row>
    <row r="285" spans="1:37">
      <c r="A285" s="12"/>
      <c r="B285" s="13">
        <f t="shared" si="98"/>
        <v>2019</v>
      </c>
      <c r="C285" s="83">
        <f t="shared" si="99"/>
        <v>871213.21200000006</v>
      </c>
      <c r="D285" s="83">
        <f t="shared" si="76"/>
        <v>3040737.3</v>
      </c>
      <c r="E285" s="83">
        <f t="shared" si="76"/>
        <v>1940949.432</v>
      </c>
      <c r="F285" s="83">
        <f t="shared" si="76"/>
        <v>2006118.2519999999</v>
      </c>
      <c r="G285" s="83">
        <f t="shared" si="76"/>
        <v>1944819.72</v>
      </c>
      <c r="H285" s="83">
        <f t="shared" si="76"/>
        <v>0</v>
      </c>
      <c r="J285" s="12"/>
      <c r="K285" s="13">
        <f t="shared" si="77"/>
        <v>2019</v>
      </c>
      <c r="L285" s="83">
        <f t="shared" si="78"/>
        <v>16204.565743199999</v>
      </c>
      <c r="M285" s="83">
        <f t="shared" si="79"/>
        <v>56557.713779999991</v>
      </c>
      <c r="N285" s="83">
        <f t="shared" si="80"/>
        <v>36101.659435199996</v>
      </c>
      <c r="O285" s="83">
        <f t="shared" si="81"/>
        <v>37313.799487199991</v>
      </c>
      <c r="P285" s="83">
        <f t="shared" si="82"/>
        <v>36173.646792</v>
      </c>
      <c r="Q285" s="83">
        <f t="shared" si="83"/>
        <v>0</v>
      </c>
      <c r="S285" s="12"/>
      <c r="T285" s="13">
        <f t="shared" si="84"/>
        <v>2019</v>
      </c>
      <c r="U285" s="83">
        <f t="shared" si="85"/>
        <v>6969.7056960000009</v>
      </c>
      <c r="V285" s="83">
        <f t="shared" si="86"/>
        <v>24325.898399999998</v>
      </c>
      <c r="W285" s="83">
        <f t="shared" si="87"/>
        <v>15527.595456000001</v>
      </c>
      <c r="X285" s="83">
        <f t="shared" si="88"/>
        <v>16048.946016</v>
      </c>
      <c r="Y285" s="83">
        <f t="shared" si="89"/>
        <v>15558.55776</v>
      </c>
      <c r="Z285" s="83">
        <f t="shared" si="90"/>
        <v>0</v>
      </c>
      <c r="AB285" s="12"/>
      <c r="AC285" s="13">
        <f t="shared" si="91"/>
        <v>2019</v>
      </c>
      <c r="AD285" s="83">
        <f t="shared" si="92"/>
        <v>848038.94056080002</v>
      </c>
      <c r="AE285" s="83">
        <f t="shared" si="93"/>
        <v>2959853.6878200001</v>
      </c>
      <c r="AF285" s="83">
        <f t="shared" si="94"/>
        <v>1889320.1771088</v>
      </c>
      <c r="AG285" s="83">
        <f t="shared" si="95"/>
        <v>1952755.5064967999</v>
      </c>
      <c r="AH285" s="83">
        <f t="shared" si="96"/>
        <v>1893087.515448</v>
      </c>
      <c r="AI285" s="83">
        <f t="shared" si="97"/>
        <v>0</v>
      </c>
    </row>
    <row r="286" spans="1:37">
      <c r="A286" s="12"/>
      <c r="B286" s="13">
        <f t="shared" si="98"/>
        <v>2020</v>
      </c>
      <c r="C286" s="83">
        <f t="shared" si="99"/>
        <v>884332.35</v>
      </c>
      <c r="D286" s="83">
        <f t="shared" si="76"/>
        <v>3086981.55</v>
      </c>
      <c r="E286" s="83">
        <f t="shared" si="76"/>
        <v>1963175.1300000001</v>
      </c>
      <c r="F286" s="83">
        <f t="shared" si="76"/>
        <v>2037308.22</v>
      </c>
      <c r="G286" s="83">
        <f t="shared" si="76"/>
        <v>1967016.96</v>
      </c>
      <c r="H286" s="83">
        <f t="shared" si="76"/>
        <v>0</v>
      </c>
      <c r="J286" s="12"/>
      <c r="K286" s="13">
        <f t="shared" si="77"/>
        <v>2020</v>
      </c>
      <c r="L286" s="83">
        <f t="shared" si="78"/>
        <v>16448.581709999999</v>
      </c>
      <c r="M286" s="83">
        <f t="shared" si="79"/>
        <v>57417.85682999999</v>
      </c>
      <c r="N286" s="83">
        <f t="shared" si="80"/>
        <v>36515.057417999997</v>
      </c>
      <c r="O286" s="83">
        <f t="shared" si="81"/>
        <v>37893.932891999997</v>
      </c>
      <c r="P286" s="83">
        <f t="shared" si="82"/>
        <v>36586.515455999994</v>
      </c>
      <c r="Q286" s="83">
        <f t="shared" si="83"/>
        <v>0</v>
      </c>
      <c r="S286" s="12"/>
      <c r="T286" s="13">
        <f t="shared" si="84"/>
        <v>2020</v>
      </c>
      <c r="U286" s="83">
        <f t="shared" si="85"/>
        <v>7074.6588000000002</v>
      </c>
      <c r="V286" s="83">
        <f t="shared" si="86"/>
        <v>24695.8524</v>
      </c>
      <c r="W286" s="83">
        <f t="shared" si="87"/>
        <v>15705.401040000001</v>
      </c>
      <c r="X286" s="83">
        <f t="shared" si="88"/>
        <v>16298.465760000001</v>
      </c>
      <c r="Y286" s="83">
        <f t="shared" si="89"/>
        <v>15736.135679999999</v>
      </c>
      <c r="Z286" s="83">
        <f t="shared" si="90"/>
        <v>0</v>
      </c>
      <c r="AB286" s="12"/>
      <c r="AC286" s="13">
        <f t="shared" si="91"/>
        <v>2020</v>
      </c>
      <c r="AD286" s="83">
        <f t="shared" si="92"/>
        <v>860809.10949000006</v>
      </c>
      <c r="AE286" s="83">
        <f t="shared" si="93"/>
        <v>3004867.8407699997</v>
      </c>
      <c r="AF286" s="83">
        <f t="shared" si="94"/>
        <v>1910954.6715420003</v>
      </c>
      <c r="AG286" s="83">
        <f t="shared" si="95"/>
        <v>1983115.8213479999</v>
      </c>
      <c r="AH286" s="83">
        <f t="shared" si="96"/>
        <v>1914694.308864</v>
      </c>
      <c r="AI286" s="83">
        <f t="shared" si="97"/>
        <v>0</v>
      </c>
    </row>
    <row r="287" spans="1:37">
      <c r="A287" s="12"/>
      <c r="B287" s="13">
        <f t="shared" si="98"/>
        <v>2021</v>
      </c>
      <c r="C287" s="83">
        <f t="shared" si="99"/>
        <v>897451.48800000001</v>
      </c>
      <c r="D287" s="83">
        <f t="shared" si="76"/>
        <v>3133225.8</v>
      </c>
      <c r="E287" s="83">
        <f t="shared" si="76"/>
        <v>1985400.828</v>
      </c>
      <c r="F287" s="83">
        <f t="shared" si="76"/>
        <v>2068498.1880000001</v>
      </c>
      <c r="G287" s="83">
        <f t="shared" si="76"/>
        <v>1989214.2</v>
      </c>
      <c r="H287" s="83">
        <f t="shared" si="76"/>
        <v>0</v>
      </c>
      <c r="J287" s="12"/>
      <c r="K287" s="13">
        <f t="shared" si="77"/>
        <v>2021</v>
      </c>
      <c r="L287" s="83">
        <f t="shared" si="78"/>
        <v>16692.5976768</v>
      </c>
      <c r="M287" s="83">
        <f t="shared" si="79"/>
        <v>58277.999879999988</v>
      </c>
      <c r="N287" s="83">
        <f t="shared" si="80"/>
        <v>36928.455400799998</v>
      </c>
      <c r="O287" s="83">
        <f t="shared" si="81"/>
        <v>38474.066296799996</v>
      </c>
      <c r="P287" s="83">
        <f t="shared" si="82"/>
        <v>36999.384119999995</v>
      </c>
      <c r="Q287" s="83">
        <f t="shared" si="83"/>
        <v>0</v>
      </c>
      <c r="S287" s="12"/>
      <c r="T287" s="13">
        <f t="shared" si="84"/>
        <v>2021</v>
      </c>
      <c r="U287" s="83">
        <f t="shared" si="85"/>
        <v>7179.6119040000003</v>
      </c>
      <c r="V287" s="83">
        <f t="shared" si="86"/>
        <v>25065.806399999998</v>
      </c>
      <c r="W287" s="83">
        <f t="shared" si="87"/>
        <v>15883.206624</v>
      </c>
      <c r="X287" s="83">
        <f t="shared" si="88"/>
        <v>16547.985504</v>
      </c>
      <c r="Y287" s="83">
        <f t="shared" si="89"/>
        <v>15913.713599999999</v>
      </c>
      <c r="Z287" s="83">
        <f t="shared" si="90"/>
        <v>0</v>
      </c>
      <c r="AB287" s="12"/>
      <c r="AC287" s="13">
        <f t="shared" si="91"/>
        <v>2021</v>
      </c>
      <c r="AD287" s="83">
        <f t="shared" si="92"/>
        <v>873579.27841919998</v>
      </c>
      <c r="AE287" s="83">
        <f t="shared" si="93"/>
        <v>3049881.9937199997</v>
      </c>
      <c r="AF287" s="83">
        <f t="shared" si="94"/>
        <v>1932589.1659751998</v>
      </c>
      <c r="AG287" s="83">
        <f t="shared" si="95"/>
        <v>2013476.1361992001</v>
      </c>
      <c r="AH287" s="83">
        <f t="shared" si="96"/>
        <v>1936301.10228</v>
      </c>
      <c r="AI287" s="83">
        <f t="shared" si="97"/>
        <v>0</v>
      </c>
    </row>
    <row r="288" spans="1:37">
      <c r="A288" s="12"/>
      <c r="B288" s="13">
        <f t="shared" si="98"/>
        <v>2022</v>
      </c>
      <c r="C288" s="83">
        <f t="shared" si="99"/>
        <v>910570.62599999993</v>
      </c>
      <c r="D288" s="83">
        <f t="shared" si="76"/>
        <v>3179470.05</v>
      </c>
      <c r="E288" s="83">
        <f t="shared" si="76"/>
        <v>2007626.5260000001</v>
      </c>
      <c r="F288" s="83">
        <f t="shared" si="76"/>
        <v>2099688.156</v>
      </c>
      <c r="G288" s="83">
        <f t="shared" si="76"/>
        <v>2011411.44</v>
      </c>
      <c r="H288" s="83">
        <f t="shared" si="76"/>
        <v>0</v>
      </c>
      <c r="J288" s="12"/>
      <c r="K288" s="13">
        <f t="shared" si="77"/>
        <v>2022</v>
      </c>
      <c r="L288" s="83">
        <f t="shared" si="78"/>
        <v>16936.613643599998</v>
      </c>
      <c r="M288" s="83">
        <f t="shared" si="79"/>
        <v>59138.142929999995</v>
      </c>
      <c r="N288" s="83">
        <f t="shared" si="80"/>
        <v>37341.853383599999</v>
      </c>
      <c r="O288" s="83">
        <f t="shared" si="81"/>
        <v>39054.199701599995</v>
      </c>
      <c r="P288" s="83">
        <f t="shared" si="82"/>
        <v>37412.252783999997</v>
      </c>
      <c r="Q288" s="83">
        <f t="shared" si="83"/>
        <v>0</v>
      </c>
      <c r="S288" s="12"/>
      <c r="T288" s="13">
        <f t="shared" si="84"/>
        <v>2022</v>
      </c>
      <c r="U288" s="83">
        <f t="shared" si="85"/>
        <v>7284.5650079999996</v>
      </c>
      <c r="V288" s="83">
        <f t="shared" si="86"/>
        <v>25435.760399999999</v>
      </c>
      <c r="W288" s="83">
        <f t="shared" si="87"/>
        <v>16061.012208</v>
      </c>
      <c r="X288" s="83">
        <f t="shared" si="88"/>
        <v>16797.505248000001</v>
      </c>
      <c r="Y288" s="83">
        <f t="shared" si="89"/>
        <v>16091.291520000001</v>
      </c>
      <c r="Z288" s="83">
        <f t="shared" si="90"/>
        <v>0</v>
      </c>
      <c r="AB288" s="12"/>
      <c r="AC288" s="13">
        <f t="shared" si="91"/>
        <v>2022</v>
      </c>
      <c r="AD288" s="83">
        <f t="shared" si="92"/>
        <v>886349.4473483999</v>
      </c>
      <c r="AE288" s="83">
        <f t="shared" si="93"/>
        <v>3094896.1466699997</v>
      </c>
      <c r="AF288" s="83">
        <f t="shared" si="94"/>
        <v>1954223.6604084</v>
      </c>
      <c r="AG288" s="83">
        <f t="shared" si="95"/>
        <v>2043836.4510504</v>
      </c>
      <c r="AH288" s="83">
        <f t="shared" si="96"/>
        <v>1957907.895696</v>
      </c>
      <c r="AI288" s="83">
        <f t="shared" si="97"/>
        <v>0</v>
      </c>
    </row>
    <row r="289" spans="1:35">
      <c r="A289" s="12"/>
      <c r="B289" s="13">
        <f t="shared" si="98"/>
        <v>2023</v>
      </c>
      <c r="C289" s="83">
        <f t="shared" si="99"/>
        <v>923689.76399999997</v>
      </c>
      <c r="D289" s="83">
        <f t="shared" si="76"/>
        <v>3225714.3</v>
      </c>
      <c r="E289" s="83">
        <f t="shared" si="76"/>
        <v>2029852.2239999999</v>
      </c>
      <c r="F289" s="83">
        <f t="shared" si="76"/>
        <v>2130878.1239999998</v>
      </c>
      <c r="G289" s="83">
        <f t="shared" si="76"/>
        <v>2033608.6800000002</v>
      </c>
      <c r="H289" s="83">
        <f t="shared" si="76"/>
        <v>0</v>
      </c>
      <c r="J289" s="12"/>
      <c r="K289" s="13">
        <f t="shared" si="77"/>
        <v>2023</v>
      </c>
      <c r="L289" s="83">
        <f t="shared" si="78"/>
        <v>17180.629610399999</v>
      </c>
      <c r="M289" s="83">
        <f t="shared" si="79"/>
        <v>59998.285979999993</v>
      </c>
      <c r="N289" s="83">
        <f t="shared" si="80"/>
        <v>37755.251366399993</v>
      </c>
      <c r="O289" s="83">
        <f t="shared" si="81"/>
        <v>39634.333106399994</v>
      </c>
      <c r="P289" s="83">
        <f t="shared" si="82"/>
        <v>37825.121447999998</v>
      </c>
      <c r="Q289" s="83">
        <f t="shared" si="83"/>
        <v>0</v>
      </c>
      <c r="S289" s="12"/>
      <c r="T289" s="13">
        <f t="shared" si="84"/>
        <v>2023</v>
      </c>
      <c r="U289" s="83">
        <f t="shared" si="85"/>
        <v>7389.5181119999997</v>
      </c>
      <c r="V289" s="83">
        <f t="shared" si="86"/>
        <v>25805.714400000001</v>
      </c>
      <c r="W289" s="83">
        <f t="shared" si="87"/>
        <v>16238.817792</v>
      </c>
      <c r="X289" s="83">
        <f t="shared" si="88"/>
        <v>17047.024991999999</v>
      </c>
      <c r="Y289" s="83">
        <f t="shared" si="89"/>
        <v>16268.869440000002</v>
      </c>
      <c r="Z289" s="83">
        <f t="shared" si="90"/>
        <v>0</v>
      </c>
      <c r="AB289" s="12"/>
      <c r="AC289" s="13">
        <f t="shared" si="91"/>
        <v>2023</v>
      </c>
      <c r="AD289" s="83">
        <f t="shared" si="92"/>
        <v>899119.61627760006</v>
      </c>
      <c r="AE289" s="83">
        <f t="shared" si="93"/>
        <v>3139910.2996199997</v>
      </c>
      <c r="AF289" s="83">
        <f t="shared" si="94"/>
        <v>1975858.1548416</v>
      </c>
      <c r="AG289" s="83">
        <f t="shared" si="95"/>
        <v>2074196.7659015998</v>
      </c>
      <c r="AH289" s="83">
        <f t="shared" si="96"/>
        <v>1979514.6891120002</v>
      </c>
      <c r="AI289" s="83">
        <f t="shared" si="97"/>
        <v>0</v>
      </c>
    </row>
    <row r="290" spans="1:35">
      <c r="A290" s="12"/>
      <c r="B290" s="13">
        <f t="shared" si="98"/>
        <v>2024</v>
      </c>
      <c r="C290" s="83">
        <f t="shared" si="99"/>
        <v>936808.902</v>
      </c>
      <c r="D290" s="83">
        <f t="shared" si="76"/>
        <v>3271958.55</v>
      </c>
      <c r="E290" s="83">
        <f t="shared" si="76"/>
        <v>2052077.922</v>
      </c>
      <c r="F290" s="83">
        <f t="shared" si="76"/>
        <v>2162068.0920000002</v>
      </c>
      <c r="G290" s="83">
        <f t="shared" si="76"/>
        <v>2055805.92</v>
      </c>
      <c r="H290" s="83">
        <f t="shared" si="76"/>
        <v>0</v>
      </c>
      <c r="J290" s="12"/>
      <c r="K290" s="13">
        <f t="shared" si="77"/>
        <v>2024</v>
      </c>
      <c r="L290" s="83">
        <f t="shared" si="78"/>
        <v>17424.645577199997</v>
      </c>
      <c r="M290" s="83">
        <f t="shared" si="79"/>
        <v>60858.429029999992</v>
      </c>
      <c r="N290" s="83">
        <f t="shared" si="80"/>
        <v>38168.649349200001</v>
      </c>
      <c r="O290" s="83">
        <f t="shared" si="81"/>
        <v>40214.4665112</v>
      </c>
      <c r="P290" s="83">
        <f t="shared" si="82"/>
        <v>38237.990111999992</v>
      </c>
      <c r="Q290" s="83">
        <f t="shared" si="83"/>
        <v>0</v>
      </c>
      <c r="S290" s="12"/>
      <c r="T290" s="13">
        <f t="shared" si="84"/>
        <v>2024</v>
      </c>
      <c r="U290" s="83">
        <f t="shared" si="85"/>
        <v>7494.4712159999999</v>
      </c>
      <c r="V290" s="83">
        <f t="shared" si="86"/>
        <v>26175.668399999999</v>
      </c>
      <c r="W290" s="83">
        <f t="shared" si="87"/>
        <v>16416.623376</v>
      </c>
      <c r="X290" s="83">
        <f t="shared" si="88"/>
        <v>17296.544736000003</v>
      </c>
      <c r="Y290" s="83">
        <f t="shared" si="89"/>
        <v>16446.447359999998</v>
      </c>
      <c r="Z290" s="83">
        <f t="shared" si="90"/>
        <v>0</v>
      </c>
      <c r="AB290" s="12"/>
      <c r="AC290" s="13">
        <f t="shared" si="91"/>
        <v>2024</v>
      </c>
      <c r="AD290" s="83">
        <f t="shared" si="92"/>
        <v>911889.78520679998</v>
      </c>
      <c r="AE290" s="83">
        <f t="shared" si="93"/>
        <v>3184924.4525700002</v>
      </c>
      <c r="AF290" s="83">
        <f t="shared" si="94"/>
        <v>1997492.6492748</v>
      </c>
      <c r="AG290" s="83">
        <f t="shared" si="95"/>
        <v>2104557.0807528002</v>
      </c>
      <c r="AH290" s="83">
        <f t="shared" si="96"/>
        <v>2001121.4825279999</v>
      </c>
      <c r="AI290" s="83">
        <f t="shared" si="97"/>
        <v>0</v>
      </c>
    </row>
    <row r="291" spans="1:35">
      <c r="A291" s="12"/>
      <c r="B291" s="13">
        <f t="shared" si="98"/>
        <v>2025</v>
      </c>
      <c r="C291" s="83">
        <f>AD398</f>
        <v>941716.56</v>
      </c>
      <c r="D291" s="83">
        <f t="shared" ref="D291:H306" si="100">AE398</f>
        <v>3289519.2</v>
      </c>
      <c r="E291" s="83">
        <f t="shared" si="100"/>
        <v>2056372.68</v>
      </c>
      <c r="F291" s="83">
        <f t="shared" si="100"/>
        <v>2174298.84</v>
      </c>
      <c r="G291" s="83">
        <f t="shared" si="100"/>
        <v>2060040.24</v>
      </c>
      <c r="H291" s="83">
        <f t="shared" si="100"/>
        <v>0</v>
      </c>
      <c r="J291" s="12"/>
      <c r="K291" s="13">
        <f t="shared" si="77"/>
        <v>2025</v>
      </c>
      <c r="L291" s="83">
        <f t="shared" ref="L291:L305" si="101">C291*0.0192</f>
        <v>18080.957952000001</v>
      </c>
      <c r="M291" s="83">
        <f t="shared" ref="M291:M305" si="102">D291*0.0192</f>
        <v>63158.768639999995</v>
      </c>
      <c r="N291" s="83">
        <f t="shared" ref="N291:N305" si="103">E291*0.0192</f>
        <v>39482.355455999998</v>
      </c>
      <c r="O291" s="83">
        <f t="shared" ref="O291:O305" si="104">F291*0.0192</f>
        <v>41746.537727999996</v>
      </c>
      <c r="P291" s="83">
        <f t="shared" ref="P291:P305" si="105">G291*0.0192</f>
        <v>39552.772607999999</v>
      </c>
      <c r="Q291" s="83">
        <f t="shared" ref="Q291:Q305" si="106">H291*0.0192</f>
        <v>0</v>
      </c>
      <c r="S291" s="12"/>
      <c r="T291" s="13">
        <f t="shared" si="84"/>
        <v>2025</v>
      </c>
      <c r="U291" s="83">
        <f t="shared" ref="U291:U305" si="107">C291*0.007</f>
        <v>6592.0159200000007</v>
      </c>
      <c r="V291" s="83">
        <f t="shared" ref="V291:V305" si="108">D291*0.007</f>
        <v>23026.634400000003</v>
      </c>
      <c r="W291" s="83">
        <f t="shared" ref="W291:W305" si="109">E291*0.007</f>
        <v>14394.608759999999</v>
      </c>
      <c r="X291" s="83">
        <f t="shared" ref="X291:X305" si="110">F291*0.007</f>
        <v>15220.09188</v>
      </c>
      <c r="Y291" s="83">
        <f t="shared" ref="Y291:Y305" si="111">G291*0.007</f>
        <v>14420.28168</v>
      </c>
      <c r="Z291" s="83">
        <f t="shared" ref="Z291:Z305" si="112">H291*0.007</f>
        <v>0</v>
      </c>
      <c r="AB291" s="12"/>
      <c r="AC291" s="13">
        <f t="shared" si="91"/>
        <v>2025</v>
      </c>
      <c r="AD291" s="83">
        <f t="shared" si="92"/>
        <v>917043.58612800005</v>
      </c>
      <c r="AE291" s="83">
        <f t="shared" si="93"/>
        <v>3203333.7969600004</v>
      </c>
      <c r="AF291" s="83">
        <f t="shared" si="94"/>
        <v>2002495.715784</v>
      </c>
      <c r="AG291" s="83">
        <f t="shared" si="95"/>
        <v>2117332.2103919997</v>
      </c>
      <c r="AH291" s="83">
        <f t="shared" si="96"/>
        <v>2006067.1857119999</v>
      </c>
      <c r="AI291" s="83">
        <f t="shared" si="97"/>
        <v>0</v>
      </c>
    </row>
    <row r="292" spans="1:35">
      <c r="A292" s="12"/>
      <c r="B292" s="13">
        <f t="shared" si="98"/>
        <v>2026</v>
      </c>
      <c r="C292" s="83">
        <f t="shared" ref="C292:C310" si="113">AD399</f>
        <v>948619.09600000002</v>
      </c>
      <c r="D292" s="83">
        <f t="shared" si="100"/>
        <v>3309455.68</v>
      </c>
      <c r="E292" s="83">
        <f t="shared" si="100"/>
        <v>2067337.7439999999</v>
      </c>
      <c r="F292" s="83">
        <f t="shared" si="100"/>
        <v>2187596.0959999999</v>
      </c>
      <c r="G292" s="83">
        <f t="shared" si="100"/>
        <v>2071080.5360000001</v>
      </c>
      <c r="H292" s="83">
        <f t="shared" si="100"/>
        <v>0</v>
      </c>
      <c r="J292" s="12"/>
      <c r="K292" s="13">
        <f t="shared" si="77"/>
        <v>2026</v>
      </c>
      <c r="L292" s="83">
        <f t="shared" si="101"/>
        <v>18213.486643199998</v>
      </c>
      <c r="M292" s="83">
        <f t="shared" si="102"/>
        <v>63541.549055999996</v>
      </c>
      <c r="N292" s="83">
        <f t="shared" si="103"/>
        <v>39692.884684799996</v>
      </c>
      <c r="O292" s="83">
        <f t="shared" si="104"/>
        <v>42001.845043199995</v>
      </c>
      <c r="P292" s="83">
        <f t="shared" si="105"/>
        <v>39764.746291199997</v>
      </c>
      <c r="Q292" s="83">
        <f t="shared" si="106"/>
        <v>0</v>
      </c>
      <c r="S292" s="12"/>
      <c r="T292" s="13">
        <f t="shared" si="84"/>
        <v>2026</v>
      </c>
      <c r="U292" s="83">
        <f t="shared" si="107"/>
        <v>6640.3336720000007</v>
      </c>
      <c r="V292" s="83">
        <f t="shared" si="108"/>
        <v>23166.189760000001</v>
      </c>
      <c r="W292" s="83">
        <f t="shared" si="109"/>
        <v>14471.364207999999</v>
      </c>
      <c r="X292" s="83">
        <f t="shared" si="110"/>
        <v>15313.172671999999</v>
      </c>
      <c r="Y292" s="83">
        <f t="shared" si="111"/>
        <v>14497.563752</v>
      </c>
      <c r="Z292" s="83">
        <f t="shared" si="112"/>
        <v>0</v>
      </c>
      <c r="AB292" s="12"/>
      <c r="AC292" s="13">
        <f t="shared" si="91"/>
        <v>2026</v>
      </c>
      <c r="AD292" s="83">
        <f t="shared" si="92"/>
        <v>923765.2756848</v>
      </c>
      <c r="AE292" s="83">
        <f t="shared" si="93"/>
        <v>3222747.9411840001</v>
      </c>
      <c r="AF292" s="83">
        <f t="shared" si="94"/>
        <v>2013173.4951072</v>
      </c>
      <c r="AG292" s="83">
        <f t="shared" si="95"/>
        <v>2130281.0782848001</v>
      </c>
      <c r="AH292" s="83">
        <f t="shared" si="96"/>
        <v>2016818.2259568002</v>
      </c>
      <c r="AI292" s="83">
        <f t="shared" si="97"/>
        <v>0</v>
      </c>
    </row>
    <row r="293" spans="1:35">
      <c r="A293" s="12"/>
      <c r="B293" s="13">
        <f t="shared" si="98"/>
        <v>2027</v>
      </c>
      <c r="C293" s="83">
        <f t="shared" si="113"/>
        <v>955521.63199999998</v>
      </c>
      <c r="D293" s="83">
        <f t="shared" si="100"/>
        <v>3329392.16</v>
      </c>
      <c r="E293" s="83">
        <f t="shared" si="100"/>
        <v>2078302.808</v>
      </c>
      <c r="F293" s="83">
        <f t="shared" si="100"/>
        <v>2200893.352</v>
      </c>
      <c r="G293" s="83">
        <f t="shared" si="100"/>
        <v>2082120.8320000002</v>
      </c>
      <c r="H293" s="83">
        <f t="shared" si="100"/>
        <v>0</v>
      </c>
      <c r="J293" s="12"/>
      <c r="K293" s="13">
        <f t="shared" si="77"/>
        <v>2027</v>
      </c>
      <c r="L293" s="83">
        <f t="shared" si="101"/>
        <v>18346.015334399999</v>
      </c>
      <c r="M293" s="83">
        <f t="shared" si="102"/>
        <v>63924.329471999998</v>
      </c>
      <c r="N293" s="83">
        <f t="shared" si="103"/>
        <v>39903.413913599994</v>
      </c>
      <c r="O293" s="83">
        <f t="shared" si="104"/>
        <v>42257.152358399995</v>
      </c>
      <c r="P293" s="83">
        <f t="shared" si="105"/>
        <v>39976.719974400003</v>
      </c>
      <c r="Q293" s="83">
        <f t="shared" si="106"/>
        <v>0</v>
      </c>
      <c r="S293" s="12"/>
      <c r="T293" s="13">
        <f t="shared" si="84"/>
        <v>2027</v>
      </c>
      <c r="U293" s="83">
        <f t="shared" si="107"/>
        <v>6688.6514239999997</v>
      </c>
      <c r="V293" s="83">
        <f t="shared" si="108"/>
        <v>23305.745120000003</v>
      </c>
      <c r="W293" s="83">
        <f t="shared" si="109"/>
        <v>14548.119656000001</v>
      </c>
      <c r="X293" s="83">
        <f t="shared" si="110"/>
        <v>15406.253463999999</v>
      </c>
      <c r="Y293" s="83">
        <f t="shared" si="111"/>
        <v>14574.845824000002</v>
      </c>
      <c r="Z293" s="83">
        <f t="shared" si="112"/>
        <v>0</v>
      </c>
      <c r="AB293" s="12"/>
      <c r="AC293" s="13">
        <f t="shared" si="91"/>
        <v>2027</v>
      </c>
      <c r="AD293" s="83">
        <f t="shared" si="92"/>
        <v>930486.96524159994</v>
      </c>
      <c r="AE293" s="83">
        <f t="shared" si="93"/>
        <v>3242162.0854080003</v>
      </c>
      <c r="AF293" s="83">
        <f t="shared" si="94"/>
        <v>2023851.2744304</v>
      </c>
      <c r="AG293" s="83">
        <f t="shared" si="95"/>
        <v>2143229.9461776</v>
      </c>
      <c r="AH293" s="83">
        <f t="shared" si="96"/>
        <v>2027569.2662016002</v>
      </c>
      <c r="AI293" s="83">
        <f t="shared" si="97"/>
        <v>0</v>
      </c>
    </row>
    <row r="294" spans="1:35">
      <c r="A294" s="12"/>
      <c r="B294" s="13">
        <f t="shared" si="98"/>
        <v>2028</v>
      </c>
      <c r="C294" s="83">
        <f t="shared" si="113"/>
        <v>962424.16800000006</v>
      </c>
      <c r="D294" s="83">
        <f t="shared" si="100"/>
        <v>3349328.64</v>
      </c>
      <c r="E294" s="83">
        <f t="shared" si="100"/>
        <v>2089267.8719999997</v>
      </c>
      <c r="F294" s="83">
        <f t="shared" si="100"/>
        <v>2214190.608</v>
      </c>
      <c r="G294" s="83">
        <f t="shared" si="100"/>
        <v>2093161.1280000003</v>
      </c>
      <c r="H294" s="83">
        <f t="shared" si="100"/>
        <v>0</v>
      </c>
      <c r="J294" s="12"/>
      <c r="K294" s="13">
        <f t="shared" si="77"/>
        <v>2028</v>
      </c>
      <c r="L294" s="83">
        <f t="shared" si="101"/>
        <v>18478.5440256</v>
      </c>
      <c r="M294" s="83">
        <f t="shared" si="102"/>
        <v>64307.109887999999</v>
      </c>
      <c r="N294" s="83">
        <f t="shared" si="103"/>
        <v>40113.943142399992</v>
      </c>
      <c r="O294" s="83">
        <f t="shared" si="104"/>
        <v>42512.459673599995</v>
      </c>
      <c r="P294" s="83">
        <f t="shared" si="105"/>
        <v>40188.693657600001</v>
      </c>
      <c r="Q294" s="83">
        <f t="shared" si="106"/>
        <v>0</v>
      </c>
      <c r="S294" s="12"/>
      <c r="T294" s="13">
        <f t="shared" si="84"/>
        <v>2028</v>
      </c>
      <c r="U294" s="83">
        <f t="shared" si="107"/>
        <v>6736.9691760000005</v>
      </c>
      <c r="V294" s="83">
        <f t="shared" si="108"/>
        <v>23445.300480000002</v>
      </c>
      <c r="W294" s="83">
        <f t="shared" si="109"/>
        <v>14624.875103999999</v>
      </c>
      <c r="X294" s="83">
        <f t="shared" si="110"/>
        <v>15499.334256</v>
      </c>
      <c r="Y294" s="83">
        <f t="shared" si="111"/>
        <v>14652.127896000002</v>
      </c>
      <c r="Z294" s="83">
        <f t="shared" si="112"/>
        <v>0</v>
      </c>
      <c r="AB294" s="12"/>
      <c r="AC294" s="13">
        <f t="shared" si="91"/>
        <v>2028</v>
      </c>
      <c r="AD294" s="83">
        <f t="shared" si="92"/>
        <v>937208.65479840012</v>
      </c>
      <c r="AE294" s="83">
        <f t="shared" si="93"/>
        <v>3261576.229632</v>
      </c>
      <c r="AF294" s="83">
        <f t="shared" si="94"/>
        <v>2034529.0537535998</v>
      </c>
      <c r="AG294" s="83">
        <f t="shared" si="95"/>
        <v>2156178.8140704003</v>
      </c>
      <c r="AH294" s="83">
        <f t="shared" si="96"/>
        <v>2038320.3064464002</v>
      </c>
      <c r="AI294" s="83">
        <f t="shared" si="97"/>
        <v>0</v>
      </c>
    </row>
    <row r="295" spans="1:35">
      <c r="A295" s="12"/>
      <c r="B295" s="13">
        <f t="shared" si="98"/>
        <v>2029</v>
      </c>
      <c r="C295" s="83">
        <f t="shared" si="113"/>
        <v>969326.70400000003</v>
      </c>
      <c r="D295" s="83">
        <f t="shared" si="100"/>
        <v>3369265.12</v>
      </c>
      <c r="E295" s="83">
        <f t="shared" si="100"/>
        <v>2100232.9360000002</v>
      </c>
      <c r="F295" s="83">
        <f t="shared" si="100"/>
        <v>2227487.8640000001</v>
      </c>
      <c r="G295" s="83">
        <f t="shared" si="100"/>
        <v>2104201.4240000001</v>
      </c>
      <c r="H295" s="83">
        <f t="shared" si="100"/>
        <v>0</v>
      </c>
      <c r="J295" s="12"/>
      <c r="K295" s="13">
        <f t="shared" si="77"/>
        <v>2029</v>
      </c>
      <c r="L295" s="83">
        <f t="shared" si="101"/>
        <v>18611.072716799998</v>
      </c>
      <c r="M295" s="83">
        <f t="shared" si="102"/>
        <v>64689.890303999993</v>
      </c>
      <c r="N295" s="83">
        <f t="shared" si="103"/>
        <v>40324.472371199998</v>
      </c>
      <c r="O295" s="83">
        <f t="shared" si="104"/>
        <v>42767.766988799995</v>
      </c>
      <c r="P295" s="83">
        <f t="shared" si="105"/>
        <v>40400.667340799999</v>
      </c>
      <c r="Q295" s="83">
        <f t="shared" si="106"/>
        <v>0</v>
      </c>
      <c r="S295" s="12"/>
      <c r="T295" s="13">
        <f t="shared" si="84"/>
        <v>2029</v>
      </c>
      <c r="U295" s="83">
        <f t="shared" si="107"/>
        <v>6785.2869280000004</v>
      </c>
      <c r="V295" s="83">
        <f t="shared" si="108"/>
        <v>23584.85584</v>
      </c>
      <c r="W295" s="83">
        <f t="shared" si="109"/>
        <v>14701.630552000002</v>
      </c>
      <c r="X295" s="83">
        <f t="shared" si="110"/>
        <v>15592.415048000001</v>
      </c>
      <c r="Y295" s="83">
        <f t="shared" si="111"/>
        <v>14729.409968000002</v>
      </c>
      <c r="Z295" s="83">
        <f t="shared" si="112"/>
        <v>0</v>
      </c>
      <c r="AB295" s="12"/>
      <c r="AC295" s="13">
        <f t="shared" si="91"/>
        <v>2029</v>
      </c>
      <c r="AD295" s="83">
        <f t="shared" si="92"/>
        <v>943930.34435519995</v>
      </c>
      <c r="AE295" s="83">
        <f t="shared" si="93"/>
        <v>3280990.3738560001</v>
      </c>
      <c r="AF295" s="83">
        <f t="shared" si="94"/>
        <v>2045206.8330768002</v>
      </c>
      <c r="AG295" s="83">
        <f t="shared" si="95"/>
        <v>2169127.6819632002</v>
      </c>
      <c r="AH295" s="83">
        <f t="shared" si="96"/>
        <v>2049071.3466912003</v>
      </c>
      <c r="AI295" s="83">
        <f t="shared" si="97"/>
        <v>0</v>
      </c>
    </row>
    <row r="296" spans="1:35">
      <c r="A296" s="12"/>
      <c r="B296" s="13">
        <f t="shared" si="98"/>
        <v>2030</v>
      </c>
      <c r="C296" s="83">
        <f t="shared" si="113"/>
        <v>976229.24</v>
      </c>
      <c r="D296" s="83">
        <f t="shared" si="100"/>
        <v>3389201.6</v>
      </c>
      <c r="E296" s="83">
        <f t="shared" si="100"/>
        <v>2111198</v>
      </c>
      <c r="F296" s="83">
        <f t="shared" si="100"/>
        <v>2240785.12</v>
      </c>
      <c r="G296" s="83">
        <f t="shared" si="100"/>
        <v>2115241.7200000002</v>
      </c>
      <c r="H296" s="83">
        <f t="shared" si="100"/>
        <v>0</v>
      </c>
      <c r="J296" s="12"/>
      <c r="K296" s="13">
        <f t="shared" si="77"/>
        <v>2030</v>
      </c>
      <c r="L296" s="83">
        <f t="shared" si="101"/>
        <v>18743.601407999999</v>
      </c>
      <c r="M296" s="83">
        <f t="shared" si="102"/>
        <v>65072.670719999995</v>
      </c>
      <c r="N296" s="83">
        <f t="shared" si="103"/>
        <v>40535.001599999996</v>
      </c>
      <c r="O296" s="83">
        <f t="shared" si="104"/>
        <v>43023.074304000002</v>
      </c>
      <c r="P296" s="83">
        <f t="shared" si="105"/>
        <v>40612.641023999997</v>
      </c>
      <c r="Q296" s="83">
        <f t="shared" si="106"/>
        <v>0</v>
      </c>
      <c r="S296" s="12"/>
      <c r="T296" s="13">
        <f t="shared" si="84"/>
        <v>2030</v>
      </c>
      <c r="U296" s="83">
        <f t="shared" si="107"/>
        <v>6833.6046800000004</v>
      </c>
      <c r="V296" s="83">
        <f t="shared" si="108"/>
        <v>23724.411200000002</v>
      </c>
      <c r="W296" s="83">
        <f t="shared" si="109"/>
        <v>14778.386</v>
      </c>
      <c r="X296" s="83">
        <f t="shared" si="110"/>
        <v>15685.495840000001</v>
      </c>
      <c r="Y296" s="83">
        <f t="shared" si="111"/>
        <v>14806.692040000002</v>
      </c>
      <c r="Z296" s="83">
        <f t="shared" si="112"/>
        <v>0</v>
      </c>
      <c r="AB296" s="12"/>
      <c r="AC296" s="13">
        <f t="shared" si="91"/>
        <v>2030</v>
      </c>
      <c r="AD296" s="83">
        <f t="shared" si="92"/>
        <v>950652.03391200001</v>
      </c>
      <c r="AE296" s="83">
        <f t="shared" si="93"/>
        <v>3300404.5180800003</v>
      </c>
      <c r="AF296" s="83">
        <f t="shared" si="94"/>
        <v>2055884.6124</v>
      </c>
      <c r="AG296" s="83">
        <f t="shared" si="95"/>
        <v>2182076.5498560001</v>
      </c>
      <c r="AH296" s="83">
        <f t="shared" si="96"/>
        <v>2059822.3869360001</v>
      </c>
      <c r="AI296" s="83">
        <f t="shared" si="97"/>
        <v>0</v>
      </c>
    </row>
    <row r="297" spans="1:35">
      <c r="A297" s="12"/>
      <c r="B297" s="13">
        <f t="shared" si="98"/>
        <v>2031</v>
      </c>
      <c r="C297" s="83">
        <f t="shared" si="113"/>
        <v>983131.77599999995</v>
      </c>
      <c r="D297" s="83">
        <f t="shared" si="100"/>
        <v>3409138.08</v>
      </c>
      <c r="E297" s="83">
        <f t="shared" si="100"/>
        <v>2122163.0639999998</v>
      </c>
      <c r="F297" s="83">
        <f t="shared" si="100"/>
        <v>2254082.3760000002</v>
      </c>
      <c r="G297" s="83">
        <f t="shared" si="100"/>
        <v>2126282.0160000003</v>
      </c>
      <c r="H297" s="83">
        <f t="shared" si="100"/>
        <v>0</v>
      </c>
      <c r="J297" s="12"/>
      <c r="K297" s="13">
        <f t="shared" si="77"/>
        <v>2031</v>
      </c>
      <c r="L297" s="83">
        <f t="shared" si="101"/>
        <v>18876.130099199996</v>
      </c>
      <c r="M297" s="83">
        <f t="shared" si="102"/>
        <v>65455.451135999996</v>
      </c>
      <c r="N297" s="83">
        <f t="shared" si="103"/>
        <v>40745.530828799994</v>
      </c>
      <c r="O297" s="83">
        <f t="shared" si="104"/>
        <v>43278.381619200001</v>
      </c>
      <c r="P297" s="83">
        <f t="shared" si="105"/>
        <v>40824.614707200002</v>
      </c>
      <c r="Q297" s="83">
        <f t="shared" si="106"/>
        <v>0</v>
      </c>
      <c r="S297" s="12"/>
      <c r="T297" s="13">
        <f t="shared" si="84"/>
        <v>2031</v>
      </c>
      <c r="U297" s="83">
        <f t="shared" si="107"/>
        <v>6881.9224319999994</v>
      </c>
      <c r="V297" s="83">
        <f t="shared" si="108"/>
        <v>23863.966560000001</v>
      </c>
      <c r="W297" s="83">
        <f t="shared" si="109"/>
        <v>14855.141447999998</v>
      </c>
      <c r="X297" s="83">
        <f t="shared" si="110"/>
        <v>15778.576632000002</v>
      </c>
      <c r="Y297" s="83">
        <f t="shared" si="111"/>
        <v>14883.974112000002</v>
      </c>
      <c r="Z297" s="83">
        <f t="shared" si="112"/>
        <v>0</v>
      </c>
      <c r="AB297" s="12"/>
      <c r="AC297" s="13">
        <f t="shared" si="91"/>
        <v>2031</v>
      </c>
      <c r="AD297" s="83">
        <f t="shared" si="92"/>
        <v>957373.72346879996</v>
      </c>
      <c r="AE297" s="83">
        <f t="shared" si="93"/>
        <v>3319818.662304</v>
      </c>
      <c r="AF297" s="83">
        <f t="shared" si="94"/>
        <v>2066562.3917231997</v>
      </c>
      <c r="AG297" s="83">
        <f t="shared" si="95"/>
        <v>2195025.4177488</v>
      </c>
      <c r="AH297" s="83">
        <f t="shared" si="96"/>
        <v>2070573.4271808001</v>
      </c>
      <c r="AI297" s="83">
        <f t="shared" si="97"/>
        <v>0</v>
      </c>
    </row>
    <row r="298" spans="1:35">
      <c r="A298" s="12"/>
      <c r="B298" s="13">
        <f t="shared" si="98"/>
        <v>2032</v>
      </c>
      <c r="C298" s="83">
        <f t="shared" si="113"/>
        <v>990034.31199999992</v>
      </c>
      <c r="D298" s="83">
        <f t="shared" si="100"/>
        <v>3429074.56</v>
      </c>
      <c r="E298" s="83">
        <f t="shared" si="100"/>
        <v>2133128.128</v>
      </c>
      <c r="F298" s="83">
        <f t="shared" si="100"/>
        <v>2267379.6320000002</v>
      </c>
      <c r="G298" s="83">
        <f t="shared" si="100"/>
        <v>2137322.3120000004</v>
      </c>
      <c r="H298" s="83">
        <f t="shared" si="100"/>
        <v>0</v>
      </c>
      <c r="J298" s="12"/>
      <c r="K298" s="13">
        <f t="shared" si="77"/>
        <v>2032</v>
      </c>
      <c r="L298" s="83">
        <f t="shared" si="101"/>
        <v>19008.658790399997</v>
      </c>
      <c r="M298" s="83">
        <f t="shared" si="102"/>
        <v>65838.231551999997</v>
      </c>
      <c r="N298" s="83">
        <f t="shared" si="103"/>
        <v>40956.0600576</v>
      </c>
      <c r="O298" s="83">
        <f t="shared" si="104"/>
        <v>43533.688934400001</v>
      </c>
      <c r="P298" s="83">
        <f t="shared" si="105"/>
        <v>41036.5883904</v>
      </c>
      <c r="Q298" s="83">
        <f t="shared" si="106"/>
        <v>0</v>
      </c>
      <c r="S298" s="12"/>
      <c r="T298" s="13">
        <f t="shared" si="84"/>
        <v>2032</v>
      </c>
      <c r="U298" s="83">
        <f t="shared" si="107"/>
        <v>6930.2401839999993</v>
      </c>
      <c r="V298" s="83">
        <f t="shared" si="108"/>
        <v>24003.521919999999</v>
      </c>
      <c r="W298" s="83">
        <f t="shared" si="109"/>
        <v>14931.896896</v>
      </c>
      <c r="X298" s="83">
        <f t="shared" si="110"/>
        <v>15871.657424000003</v>
      </c>
      <c r="Y298" s="83">
        <f t="shared" si="111"/>
        <v>14961.256184000003</v>
      </c>
      <c r="Z298" s="83">
        <f t="shared" si="112"/>
        <v>0</v>
      </c>
      <c r="AB298" s="12"/>
      <c r="AC298" s="13">
        <f t="shared" si="91"/>
        <v>2032</v>
      </c>
      <c r="AD298" s="83">
        <f t="shared" si="92"/>
        <v>964095.4130255999</v>
      </c>
      <c r="AE298" s="83">
        <f t="shared" si="93"/>
        <v>3339232.8065279997</v>
      </c>
      <c r="AF298" s="83">
        <f t="shared" si="94"/>
        <v>2077240.1710464</v>
      </c>
      <c r="AG298" s="83">
        <f t="shared" si="95"/>
        <v>2207974.2856415999</v>
      </c>
      <c r="AH298" s="83">
        <f t="shared" si="96"/>
        <v>2081324.4674256004</v>
      </c>
      <c r="AI298" s="83">
        <f t="shared" si="97"/>
        <v>0</v>
      </c>
    </row>
    <row r="299" spans="1:35">
      <c r="A299" s="12"/>
      <c r="B299" s="13">
        <f t="shared" si="98"/>
        <v>2033</v>
      </c>
      <c r="C299" s="83">
        <f t="shared" si="113"/>
        <v>996936.848</v>
      </c>
      <c r="D299" s="83">
        <f t="shared" si="100"/>
        <v>3449011.04</v>
      </c>
      <c r="E299" s="83">
        <f t="shared" si="100"/>
        <v>2144093.1920000003</v>
      </c>
      <c r="F299" s="83">
        <f t="shared" si="100"/>
        <v>2280676.8879999998</v>
      </c>
      <c r="G299" s="83">
        <f t="shared" si="100"/>
        <v>2148362.608</v>
      </c>
      <c r="H299" s="83">
        <f t="shared" si="100"/>
        <v>0</v>
      </c>
      <c r="J299" s="12"/>
      <c r="K299" s="13">
        <f t="shared" si="77"/>
        <v>2033</v>
      </c>
      <c r="L299" s="83">
        <f t="shared" si="101"/>
        <v>19141.187481599998</v>
      </c>
      <c r="M299" s="83">
        <f t="shared" si="102"/>
        <v>66221.011967999992</v>
      </c>
      <c r="N299" s="83">
        <f t="shared" si="103"/>
        <v>41166.589286400005</v>
      </c>
      <c r="O299" s="83">
        <f t="shared" si="104"/>
        <v>43788.996249599993</v>
      </c>
      <c r="P299" s="83">
        <f t="shared" si="105"/>
        <v>41248.562073599998</v>
      </c>
      <c r="Q299" s="83">
        <f t="shared" si="106"/>
        <v>0</v>
      </c>
      <c r="S299" s="12"/>
      <c r="T299" s="13">
        <f t="shared" si="84"/>
        <v>2033</v>
      </c>
      <c r="U299" s="83">
        <f t="shared" si="107"/>
        <v>6978.5579360000002</v>
      </c>
      <c r="V299" s="83">
        <f t="shared" si="108"/>
        <v>24143.077280000001</v>
      </c>
      <c r="W299" s="83">
        <f t="shared" si="109"/>
        <v>15008.652344000002</v>
      </c>
      <c r="X299" s="83">
        <f t="shared" si="110"/>
        <v>15964.738216</v>
      </c>
      <c r="Y299" s="83">
        <f t="shared" si="111"/>
        <v>15038.538256</v>
      </c>
      <c r="Z299" s="83">
        <f t="shared" si="112"/>
        <v>0</v>
      </c>
      <c r="AB299" s="12"/>
      <c r="AC299" s="13">
        <f t="shared" si="91"/>
        <v>2033</v>
      </c>
      <c r="AD299" s="83">
        <f t="shared" si="92"/>
        <v>970817.10258239997</v>
      </c>
      <c r="AE299" s="83">
        <f t="shared" si="93"/>
        <v>3358646.9507520003</v>
      </c>
      <c r="AF299" s="83">
        <f t="shared" si="94"/>
        <v>2087917.9503696002</v>
      </c>
      <c r="AG299" s="83">
        <f t="shared" si="95"/>
        <v>2220923.1535343998</v>
      </c>
      <c r="AH299" s="83">
        <f t="shared" si="96"/>
        <v>2092075.5076704</v>
      </c>
      <c r="AI299" s="83">
        <f t="shared" si="97"/>
        <v>0</v>
      </c>
    </row>
    <row r="300" spans="1:35">
      <c r="A300" s="12"/>
      <c r="B300" s="13">
        <f t="shared" si="98"/>
        <v>2034</v>
      </c>
      <c r="C300" s="83">
        <f t="shared" si="113"/>
        <v>1003839.3840000001</v>
      </c>
      <c r="D300" s="83">
        <f t="shared" si="100"/>
        <v>3468947.52</v>
      </c>
      <c r="E300" s="83">
        <f t="shared" si="100"/>
        <v>2155058.2560000001</v>
      </c>
      <c r="F300" s="83">
        <f t="shared" si="100"/>
        <v>2293974.1439999999</v>
      </c>
      <c r="G300" s="83">
        <f t="shared" si="100"/>
        <v>2159402.9040000001</v>
      </c>
      <c r="H300" s="83">
        <f t="shared" si="100"/>
        <v>0</v>
      </c>
      <c r="J300" s="12"/>
      <c r="K300" s="13">
        <f t="shared" si="77"/>
        <v>2034</v>
      </c>
      <c r="L300" s="83">
        <f t="shared" si="101"/>
        <v>19273.716172799999</v>
      </c>
      <c r="M300" s="83">
        <f t="shared" si="102"/>
        <v>66603.792384</v>
      </c>
      <c r="N300" s="83">
        <f t="shared" si="103"/>
        <v>41377.118515199996</v>
      </c>
      <c r="O300" s="83">
        <f t="shared" si="104"/>
        <v>44044.303564799993</v>
      </c>
      <c r="P300" s="83">
        <f t="shared" si="105"/>
        <v>41460.535756799996</v>
      </c>
      <c r="Q300" s="83">
        <f t="shared" si="106"/>
        <v>0</v>
      </c>
      <c r="S300" s="12"/>
      <c r="T300" s="13">
        <f t="shared" si="84"/>
        <v>2034</v>
      </c>
      <c r="U300" s="83">
        <f t="shared" si="107"/>
        <v>7026.875688000001</v>
      </c>
      <c r="V300" s="83">
        <f t="shared" si="108"/>
        <v>24282.63264</v>
      </c>
      <c r="W300" s="83">
        <f t="shared" si="109"/>
        <v>15085.407792</v>
      </c>
      <c r="X300" s="83">
        <f t="shared" si="110"/>
        <v>16057.819007999999</v>
      </c>
      <c r="Y300" s="83">
        <f t="shared" si="111"/>
        <v>15115.820328000002</v>
      </c>
      <c r="Z300" s="83">
        <f t="shared" si="112"/>
        <v>0</v>
      </c>
      <c r="AB300" s="12"/>
      <c r="AC300" s="13">
        <f t="shared" si="91"/>
        <v>2034</v>
      </c>
      <c r="AD300" s="83">
        <f t="shared" si="92"/>
        <v>977538.79213920003</v>
      </c>
      <c r="AE300" s="83">
        <f t="shared" si="93"/>
        <v>3378061.094976</v>
      </c>
      <c r="AF300" s="83">
        <f t="shared" si="94"/>
        <v>2098595.7296928</v>
      </c>
      <c r="AG300" s="83">
        <f t="shared" si="95"/>
        <v>2233872.0214271997</v>
      </c>
      <c r="AH300" s="83">
        <f t="shared" si="96"/>
        <v>2102826.5479152002</v>
      </c>
      <c r="AI300" s="83">
        <f t="shared" si="97"/>
        <v>0</v>
      </c>
    </row>
    <row r="301" spans="1:35">
      <c r="A301" s="12"/>
      <c r="B301" s="13">
        <f t="shared" si="98"/>
        <v>2035</v>
      </c>
      <c r="C301" s="83">
        <f t="shared" si="113"/>
        <v>1010741.92</v>
      </c>
      <c r="D301" s="83">
        <f t="shared" si="100"/>
        <v>3488884</v>
      </c>
      <c r="E301" s="83">
        <f t="shared" si="100"/>
        <v>2166023.3199999998</v>
      </c>
      <c r="F301" s="83">
        <f t="shared" si="100"/>
        <v>2307271.4</v>
      </c>
      <c r="G301" s="83">
        <f t="shared" si="100"/>
        <v>2170443.2000000002</v>
      </c>
      <c r="H301" s="83">
        <f t="shared" si="100"/>
        <v>0</v>
      </c>
      <c r="J301" s="12"/>
      <c r="K301" s="13">
        <f t="shared" si="77"/>
        <v>2035</v>
      </c>
      <c r="L301" s="83">
        <f t="shared" si="101"/>
        <v>19406.244864</v>
      </c>
      <c r="M301" s="83">
        <f t="shared" si="102"/>
        <v>66986.572799999994</v>
      </c>
      <c r="N301" s="83">
        <f t="shared" si="103"/>
        <v>41587.647743999994</v>
      </c>
      <c r="O301" s="83">
        <f t="shared" si="104"/>
        <v>44299.610879999993</v>
      </c>
      <c r="P301" s="83">
        <f t="shared" si="105"/>
        <v>41672.509440000002</v>
      </c>
      <c r="Q301" s="83">
        <f t="shared" si="106"/>
        <v>0</v>
      </c>
      <c r="S301" s="12"/>
      <c r="T301" s="13">
        <f t="shared" si="84"/>
        <v>2035</v>
      </c>
      <c r="U301" s="83">
        <f t="shared" si="107"/>
        <v>7075.19344</v>
      </c>
      <c r="V301" s="83">
        <f t="shared" si="108"/>
        <v>24422.188000000002</v>
      </c>
      <c r="W301" s="83">
        <f t="shared" si="109"/>
        <v>15162.16324</v>
      </c>
      <c r="X301" s="83">
        <f t="shared" si="110"/>
        <v>16150.899799999999</v>
      </c>
      <c r="Y301" s="83">
        <f t="shared" si="111"/>
        <v>15193.102400000002</v>
      </c>
      <c r="Z301" s="83">
        <f t="shared" si="112"/>
        <v>0</v>
      </c>
      <c r="AB301" s="12"/>
      <c r="AC301" s="13">
        <f t="shared" si="91"/>
        <v>2035</v>
      </c>
      <c r="AD301" s="83">
        <f t="shared" si="92"/>
        <v>984260.48169600009</v>
      </c>
      <c r="AE301" s="83">
        <f t="shared" si="93"/>
        <v>3397475.2391999997</v>
      </c>
      <c r="AF301" s="83">
        <f t="shared" si="94"/>
        <v>2109273.5090159997</v>
      </c>
      <c r="AG301" s="83">
        <f t="shared" si="95"/>
        <v>2246820.8893200001</v>
      </c>
      <c r="AH301" s="83">
        <f t="shared" si="96"/>
        <v>2113577.5881599998</v>
      </c>
      <c r="AI301" s="83">
        <f t="shared" si="97"/>
        <v>0</v>
      </c>
    </row>
    <row r="302" spans="1:35">
      <c r="A302" s="12"/>
      <c r="B302" s="13">
        <f t="shared" si="98"/>
        <v>2036</v>
      </c>
      <c r="C302" s="83">
        <f t="shared" si="113"/>
        <v>1017644.456</v>
      </c>
      <c r="D302" s="83">
        <f t="shared" si="100"/>
        <v>3508820.48</v>
      </c>
      <c r="E302" s="83">
        <f t="shared" si="100"/>
        <v>2176988.3840000001</v>
      </c>
      <c r="F302" s="83">
        <f t="shared" si="100"/>
        <v>2320568.656</v>
      </c>
      <c r="G302" s="83">
        <f t="shared" si="100"/>
        <v>2181483.4960000003</v>
      </c>
      <c r="H302" s="83">
        <f t="shared" si="100"/>
        <v>0</v>
      </c>
      <c r="J302" s="12"/>
      <c r="K302" s="13">
        <f t="shared" si="77"/>
        <v>2036</v>
      </c>
      <c r="L302" s="83">
        <f t="shared" si="101"/>
        <v>19538.773555199998</v>
      </c>
      <c r="M302" s="83">
        <f t="shared" si="102"/>
        <v>67369.353215999989</v>
      </c>
      <c r="N302" s="83">
        <f t="shared" si="103"/>
        <v>41798.1769728</v>
      </c>
      <c r="O302" s="83">
        <f t="shared" si="104"/>
        <v>44554.918195199993</v>
      </c>
      <c r="P302" s="83">
        <f t="shared" si="105"/>
        <v>41884.4831232</v>
      </c>
      <c r="Q302" s="83">
        <f t="shared" si="106"/>
        <v>0</v>
      </c>
      <c r="S302" s="12"/>
      <c r="T302" s="13">
        <f t="shared" si="84"/>
        <v>2036</v>
      </c>
      <c r="U302" s="83">
        <f t="shared" si="107"/>
        <v>7123.5111919999999</v>
      </c>
      <c r="V302" s="83">
        <f t="shared" si="108"/>
        <v>24561.74336</v>
      </c>
      <c r="W302" s="83">
        <f t="shared" si="109"/>
        <v>15238.918688000002</v>
      </c>
      <c r="X302" s="83">
        <f t="shared" si="110"/>
        <v>16243.980592</v>
      </c>
      <c r="Y302" s="83">
        <f t="shared" si="111"/>
        <v>15270.384472000002</v>
      </c>
      <c r="Z302" s="83">
        <f t="shared" si="112"/>
        <v>0</v>
      </c>
      <c r="AB302" s="12"/>
      <c r="AC302" s="13">
        <f t="shared" si="91"/>
        <v>2036</v>
      </c>
      <c r="AD302" s="83">
        <f t="shared" si="92"/>
        <v>990982.17125280004</v>
      </c>
      <c r="AE302" s="83">
        <f t="shared" si="93"/>
        <v>3416889.3834239999</v>
      </c>
      <c r="AF302" s="83">
        <f t="shared" si="94"/>
        <v>2119951.2883392</v>
      </c>
      <c r="AG302" s="83">
        <f t="shared" si="95"/>
        <v>2259769.7572128</v>
      </c>
      <c r="AH302" s="83">
        <f t="shared" si="96"/>
        <v>2124328.6284048003</v>
      </c>
      <c r="AI302" s="83">
        <f t="shared" si="97"/>
        <v>0</v>
      </c>
    </row>
    <row r="303" spans="1:35">
      <c r="A303" s="12"/>
      <c r="B303" s="13">
        <f t="shared" si="98"/>
        <v>2037</v>
      </c>
      <c r="C303" s="83">
        <f t="shared" si="113"/>
        <v>1024546.992</v>
      </c>
      <c r="D303" s="83">
        <f t="shared" si="100"/>
        <v>3528756.96</v>
      </c>
      <c r="E303" s="83">
        <f t="shared" si="100"/>
        <v>2187953.4479999999</v>
      </c>
      <c r="F303" s="83">
        <f t="shared" si="100"/>
        <v>2333865.912</v>
      </c>
      <c r="G303" s="83">
        <f t="shared" si="100"/>
        <v>2192523.7920000004</v>
      </c>
      <c r="H303" s="83">
        <f t="shared" si="100"/>
        <v>0</v>
      </c>
      <c r="J303" s="12"/>
      <c r="K303" s="13">
        <f t="shared" si="77"/>
        <v>2037</v>
      </c>
      <c r="L303" s="83">
        <f t="shared" si="101"/>
        <v>19671.302246399999</v>
      </c>
      <c r="M303" s="83">
        <f t="shared" si="102"/>
        <v>67752.133631999997</v>
      </c>
      <c r="N303" s="83">
        <f t="shared" si="103"/>
        <v>42008.706201599991</v>
      </c>
      <c r="O303" s="83">
        <f t="shared" si="104"/>
        <v>44810.2255104</v>
      </c>
      <c r="P303" s="83">
        <f t="shared" si="105"/>
        <v>42096.456806400005</v>
      </c>
      <c r="Q303" s="83">
        <f t="shared" si="106"/>
        <v>0</v>
      </c>
      <c r="S303" s="12"/>
      <c r="T303" s="13">
        <f t="shared" si="84"/>
        <v>2037</v>
      </c>
      <c r="U303" s="83">
        <f t="shared" si="107"/>
        <v>7171.8289439999999</v>
      </c>
      <c r="V303" s="83">
        <f t="shared" si="108"/>
        <v>24701.298719999999</v>
      </c>
      <c r="W303" s="83">
        <f t="shared" si="109"/>
        <v>15315.674136</v>
      </c>
      <c r="X303" s="83">
        <f t="shared" si="110"/>
        <v>16337.061384000001</v>
      </c>
      <c r="Y303" s="83">
        <f t="shared" si="111"/>
        <v>15347.666544000003</v>
      </c>
      <c r="Z303" s="83">
        <f t="shared" si="112"/>
        <v>0</v>
      </c>
      <c r="AB303" s="12"/>
      <c r="AC303" s="13">
        <f t="shared" si="91"/>
        <v>2037</v>
      </c>
      <c r="AD303" s="83">
        <f t="shared" si="92"/>
        <v>997703.86080959998</v>
      </c>
      <c r="AE303" s="83">
        <f t="shared" si="93"/>
        <v>3436303.527648</v>
      </c>
      <c r="AF303" s="83">
        <f t="shared" si="94"/>
        <v>2130629.0676623997</v>
      </c>
      <c r="AG303" s="83">
        <f t="shared" si="95"/>
        <v>2272718.6251056003</v>
      </c>
      <c r="AH303" s="83">
        <f t="shared" si="96"/>
        <v>2135079.6686496004</v>
      </c>
      <c r="AI303" s="83">
        <f t="shared" si="97"/>
        <v>0</v>
      </c>
    </row>
    <row r="304" spans="1:35">
      <c r="A304" s="12"/>
      <c r="B304" s="13">
        <f t="shared" si="98"/>
        <v>2038</v>
      </c>
      <c r="C304" s="83">
        <f t="shared" si="113"/>
        <v>1031449.528</v>
      </c>
      <c r="D304" s="83">
        <f t="shared" si="100"/>
        <v>3548693.44</v>
      </c>
      <c r="E304" s="83">
        <f t="shared" si="100"/>
        <v>2198918.5120000001</v>
      </c>
      <c r="F304" s="83">
        <f t="shared" si="100"/>
        <v>2347163.1679999996</v>
      </c>
      <c r="G304" s="83">
        <f t="shared" si="100"/>
        <v>2203564.088</v>
      </c>
      <c r="H304" s="83">
        <f t="shared" si="100"/>
        <v>0</v>
      </c>
      <c r="J304" s="12"/>
      <c r="K304" s="13">
        <f t="shared" si="77"/>
        <v>2038</v>
      </c>
      <c r="L304" s="83">
        <f t="shared" si="101"/>
        <v>19803.8309376</v>
      </c>
      <c r="M304" s="83">
        <f t="shared" si="102"/>
        <v>68134.914047999991</v>
      </c>
      <c r="N304" s="83">
        <f t="shared" si="103"/>
        <v>42219.235430399996</v>
      </c>
      <c r="O304" s="83">
        <f t="shared" si="104"/>
        <v>45065.532825599985</v>
      </c>
      <c r="P304" s="83">
        <f t="shared" si="105"/>
        <v>42308.430489599996</v>
      </c>
      <c r="Q304" s="83">
        <f t="shared" si="106"/>
        <v>0</v>
      </c>
      <c r="S304" s="12"/>
      <c r="T304" s="13">
        <f t="shared" si="84"/>
        <v>2038</v>
      </c>
      <c r="U304" s="83">
        <f t="shared" si="107"/>
        <v>7220.1466960000007</v>
      </c>
      <c r="V304" s="83">
        <f t="shared" si="108"/>
        <v>24840.854080000001</v>
      </c>
      <c r="W304" s="83">
        <f t="shared" si="109"/>
        <v>15392.429584000001</v>
      </c>
      <c r="X304" s="83">
        <f t="shared" si="110"/>
        <v>16430.142175999998</v>
      </c>
      <c r="Y304" s="83">
        <f t="shared" si="111"/>
        <v>15424.948616</v>
      </c>
      <c r="Z304" s="83">
        <f t="shared" si="112"/>
        <v>0</v>
      </c>
      <c r="AB304" s="12"/>
      <c r="AC304" s="13">
        <f t="shared" si="91"/>
        <v>2038</v>
      </c>
      <c r="AD304" s="83">
        <f t="shared" si="92"/>
        <v>1004425.5503664</v>
      </c>
      <c r="AE304" s="83">
        <f t="shared" si="93"/>
        <v>3455717.6718720002</v>
      </c>
      <c r="AF304" s="83">
        <f t="shared" si="94"/>
        <v>2141306.8469856004</v>
      </c>
      <c r="AG304" s="83">
        <f t="shared" si="95"/>
        <v>2285667.4929983998</v>
      </c>
      <c r="AH304" s="83">
        <f t="shared" si="96"/>
        <v>2145830.7088943999</v>
      </c>
      <c r="AI304" s="83">
        <f t="shared" si="97"/>
        <v>0</v>
      </c>
    </row>
    <row r="305" spans="1:35">
      <c r="A305" s="12"/>
      <c r="B305" s="13">
        <f t="shared" si="98"/>
        <v>2039</v>
      </c>
      <c r="C305" s="83">
        <f t="shared" si="113"/>
        <v>1038352.0640000001</v>
      </c>
      <c r="D305" s="83">
        <f t="shared" si="100"/>
        <v>3568629.92</v>
      </c>
      <c r="E305" s="83">
        <f t="shared" si="100"/>
        <v>2209883.5759999999</v>
      </c>
      <c r="F305" s="83">
        <f t="shared" si="100"/>
        <v>2360460.4240000001</v>
      </c>
      <c r="G305" s="83">
        <f t="shared" si="100"/>
        <v>2214604.3840000001</v>
      </c>
      <c r="H305" s="83">
        <f t="shared" si="100"/>
        <v>0</v>
      </c>
      <c r="J305" s="12"/>
      <c r="K305" s="13">
        <f t="shared" si="77"/>
        <v>2039</v>
      </c>
      <c r="L305" s="83">
        <f t="shared" si="101"/>
        <v>19936.359628800001</v>
      </c>
      <c r="M305" s="83">
        <f t="shared" si="102"/>
        <v>68517.694463999986</v>
      </c>
      <c r="N305" s="83">
        <f t="shared" si="103"/>
        <v>42429.764659199995</v>
      </c>
      <c r="O305" s="83">
        <f t="shared" si="104"/>
        <v>45320.840140799999</v>
      </c>
      <c r="P305" s="83">
        <f t="shared" si="105"/>
        <v>42520.404172800001</v>
      </c>
      <c r="Q305" s="83">
        <f t="shared" si="106"/>
        <v>0</v>
      </c>
      <c r="S305" s="12"/>
      <c r="T305" s="13">
        <f t="shared" si="84"/>
        <v>2039</v>
      </c>
      <c r="U305" s="83">
        <f t="shared" si="107"/>
        <v>7268.4644480000006</v>
      </c>
      <c r="V305" s="83">
        <f t="shared" si="108"/>
        <v>24980.409439999999</v>
      </c>
      <c r="W305" s="83">
        <f t="shared" si="109"/>
        <v>15469.185031999999</v>
      </c>
      <c r="X305" s="83">
        <f t="shared" si="110"/>
        <v>16523.222968000002</v>
      </c>
      <c r="Y305" s="83">
        <f t="shared" si="111"/>
        <v>15502.230688000001</v>
      </c>
      <c r="Z305" s="83">
        <f t="shared" si="112"/>
        <v>0</v>
      </c>
      <c r="AB305" s="12"/>
      <c r="AC305" s="13">
        <f t="shared" si="91"/>
        <v>2039</v>
      </c>
      <c r="AD305" s="83">
        <f t="shared" si="92"/>
        <v>1011147.2399232002</v>
      </c>
      <c r="AE305" s="83">
        <f t="shared" si="93"/>
        <v>3475131.8160959999</v>
      </c>
      <c r="AF305" s="83">
        <f t="shared" si="94"/>
        <v>2151984.6263088002</v>
      </c>
      <c r="AG305" s="83">
        <f t="shared" si="95"/>
        <v>2298616.3608912001</v>
      </c>
      <c r="AH305" s="83">
        <f t="shared" si="96"/>
        <v>2156581.7491392</v>
      </c>
      <c r="AI305" s="83">
        <f t="shared" si="97"/>
        <v>0</v>
      </c>
    </row>
    <row r="306" spans="1:35">
      <c r="A306" s="12"/>
      <c r="B306" s="13">
        <f t="shared" si="98"/>
        <v>2040</v>
      </c>
      <c r="C306" s="83">
        <f t="shared" si="113"/>
        <v>1045143.45</v>
      </c>
      <c r="D306" s="83">
        <f t="shared" si="100"/>
        <v>3588184.8</v>
      </c>
      <c r="E306" s="83">
        <f t="shared" si="100"/>
        <v>2220612.48</v>
      </c>
      <c r="F306" s="83">
        <f t="shared" si="100"/>
        <v>2373505.2599999998</v>
      </c>
      <c r="G306" s="83">
        <f t="shared" si="100"/>
        <v>2225408.0099999998</v>
      </c>
      <c r="H306" s="83">
        <f t="shared" si="100"/>
        <v>0</v>
      </c>
      <c r="J306" s="12"/>
      <c r="K306" s="13">
        <f t="shared" si="77"/>
        <v>2040</v>
      </c>
      <c r="L306" s="83">
        <f t="shared" ref="L306:Q310" si="114">C306*0.0207</f>
        <v>21634.469415</v>
      </c>
      <c r="M306" s="83">
        <f t="shared" si="114"/>
        <v>74275.425359999994</v>
      </c>
      <c r="N306" s="83">
        <f t="shared" si="114"/>
        <v>45966.678335999997</v>
      </c>
      <c r="O306" s="83">
        <f t="shared" si="114"/>
        <v>49131.558881999998</v>
      </c>
      <c r="P306" s="83">
        <f t="shared" si="114"/>
        <v>46065.945806999996</v>
      </c>
      <c r="Q306" s="83">
        <f t="shared" si="114"/>
        <v>0</v>
      </c>
      <c r="S306" s="12"/>
      <c r="T306" s="13">
        <f t="shared" si="84"/>
        <v>2040</v>
      </c>
      <c r="U306" s="83">
        <f t="shared" ref="U306:Z310" si="115">C306*0.005</f>
        <v>5225.7172499999997</v>
      </c>
      <c r="V306" s="83">
        <f t="shared" si="115"/>
        <v>17940.923999999999</v>
      </c>
      <c r="W306" s="83">
        <f t="shared" si="115"/>
        <v>11103.062400000001</v>
      </c>
      <c r="X306" s="83">
        <f t="shared" si="115"/>
        <v>11867.5263</v>
      </c>
      <c r="Y306" s="83">
        <f t="shared" si="115"/>
        <v>11127.04005</v>
      </c>
      <c r="Z306" s="83">
        <f t="shared" si="115"/>
        <v>0</v>
      </c>
      <c r="AB306" s="12"/>
      <c r="AC306" s="13">
        <f t="shared" si="91"/>
        <v>2040</v>
      </c>
      <c r="AD306" s="83">
        <f t="shared" si="92"/>
        <v>1018283.263335</v>
      </c>
      <c r="AE306" s="83">
        <f t="shared" si="93"/>
        <v>3495968.4506399999</v>
      </c>
      <c r="AF306" s="83">
        <f t="shared" si="94"/>
        <v>2163542.7392639997</v>
      </c>
      <c r="AG306" s="83">
        <f t="shared" si="95"/>
        <v>2312506.1748179998</v>
      </c>
      <c r="AH306" s="83">
        <f t="shared" si="96"/>
        <v>2168215.0241429997</v>
      </c>
      <c r="AI306" s="83">
        <f t="shared" si="97"/>
        <v>0</v>
      </c>
    </row>
    <row r="307" spans="1:35">
      <c r="A307" s="12"/>
      <c r="B307" s="13">
        <f t="shared" si="98"/>
        <v>2041</v>
      </c>
      <c r="C307" s="83">
        <f t="shared" si="113"/>
        <v>1052045.2520000001</v>
      </c>
      <c r="D307" s="83">
        <f t="shared" ref="D307:H310" si="116">AE414</f>
        <v>3608119.1599999997</v>
      </c>
      <c r="E307" s="83">
        <f t="shared" si="116"/>
        <v>2231576.378</v>
      </c>
      <c r="F307" s="83">
        <f t="shared" si="116"/>
        <v>2386801.102</v>
      </c>
      <c r="G307" s="83">
        <f t="shared" si="116"/>
        <v>2236447.1320000002</v>
      </c>
      <c r="H307" s="83">
        <f t="shared" si="116"/>
        <v>0</v>
      </c>
      <c r="J307" s="12"/>
      <c r="K307" s="13">
        <f t="shared" si="77"/>
        <v>2041</v>
      </c>
      <c r="L307" s="83">
        <f t="shared" si="114"/>
        <v>21777.336716400001</v>
      </c>
      <c r="M307" s="83">
        <f t="shared" si="114"/>
        <v>74688.066611999995</v>
      </c>
      <c r="N307" s="83">
        <f t="shared" si="114"/>
        <v>46193.631024599999</v>
      </c>
      <c r="O307" s="83">
        <f t="shared" si="114"/>
        <v>49406.7828114</v>
      </c>
      <c r="P307" s="83">
        <f t="shared" si="114"/>
        <v>46294.4556324</v>
      </c>
      <c r="Q307" s="83">
        <f t="shared" si="114"/>
        <v>0</v>
      </c>
      <c r="S307" s="12"/>
      <c r="T307" s="13">
        <f t="shared" si="84"/>
        <v>2041</v>
      </c>
      <c r="U307" s="83">
        <f t="shared" si="115"/>
        <v>5260.2262600000004</v>
      </c>
      <c r="V307" s="83">
        <f t="shared" si="115"/>
        <v>18040.595799999999</v>
      </c>
      <c r="W307" s="83">
        <f t="shared" si="115"/>
        <v>11157.881890000001</v>
      </c>
      <c r="X307" s="83">
        <f t="shared" si="115"/>
        <v>11934.005510000001</v>
      </c>
      <c r="Y307" s="83">
        <f t="shared" si="115"/>
        <v>11182.235660000002</v>
      </c>
      <c r="Z307" s="83">
        <f t="shared" si="115"/>
        <v>0</v>
      </c>
      <c r="AB307" s="12"/>
      <c r="AC307" s="13">
        <f t="shared" si="91"/>
        <v>2041</v>
      </c>
      <c r="AD307" s="83">
        <f t="shared" si="92"/>
        <v>1025007.6890236001</v>
      </c>
      <c r="AE307" s="83">
        <f t="shared" si="93"/>
        <v>3515390.4975879998</v>
      </c>
      <c r="AF307" s="83">
        <f t="shared" si="94"/>
        <v>2174224.8650854002</v>
      </c>
      <c r="AG307" s="83">
        <f t="shared" si="95"/>
        <v>2325460.3136785999</v>
      </c>
      <c r="AH307" s="83">
        <f t="shared" si="96"/>
        <v>2178970.4407076007</v>
      </c>
      <c r="AI307" s="83">
        <f t="shared" si="97"/>
        <v>0</v>
      </c>
    </row>
    <row r="308" spans="1:35">
      <c r="A308" s="12"/>
      <c r="B308" s="13">
        <f t="shared" si="98"/>
        <v>2042</v>
      </c>
      <c r="C308" s="83">
        <f t="shared" si="113"/>
        <v>1058947.054</v>
      </c>
      <c r="D308" s="83">
        <f t="shared" si="116"/>
        <v>3628053.52</v>
      </c>
      <c r="E308" s="83">
        <f t="shared" si="116"/>
        <v>2242540.2760000001</v>
      </c>
      <c r="F308" s="83">
        <f t="shared" si="116"/>
        <v>2400096.9440000001</v>
      </c>
      <c r="G308" s="83">
        <f t="shared" si="116"/>
        <v>2247486.2540000002</v>
      </c>
      <c r="H308" s="83">
        <f t="shared" si="116"/>
        <v>0</v>
      </c>
      <c r="J308" s="12"/>
      <c r="K308" s="13">
        <f t="shared" si="77"/>
        <v>2042</v>
      </c>
      <c r="L308" s="83">
        <f t="shared" si="114"/>
        <v>21920.204017799999</v>
      </c>
      <c r="M308" s="83">
        <f t="shared" si="114"/>
        <v>75100.707863999996</v>
      </c>
      <c r="N308" s="83">
        <f t="shared" si="114"/>
        <v>46420.583713200002</v>
      </c>
      <c r="O308" s="83">
        <f t="shared" si="114"/>
        <v>49682.006740800003</v>
      </c>
      <c r="P308" s="83">
        <f t="shared" si="114"/>
        <v>46522.965457800005</v>
      </c>
      <c r="Q308" s="83">
        <f t="shared" si="114"/>
        <v>0</v>
      </c>
      <c r="S308" s="12"/>
      <c r="T308" s="13">
        <f t="shared" si="84"/>
        <v>2042</v>
      </c>
      <c r="U308" s="83">
        <f t="shared" si="115"/>
        <v>5294.7352700000001</v>
      </c>
      <c r="V308" s="83">
        <f t="shared" si="115"/>
        <v>18140.267599999999</v>
      </c>
      <c r="W308" s="83">
        <f t="shared" si="115"/>
        <v>11212.70138</v>
      </c>
      <c r="X308" s="83">
        <f t="shared" si="115"/>
        <v>12000.48472</v>
      </c>
      <c r="Y308" s="83">
        <f t="shared" si="115"/>
        <v>11237.431270000001</v>
      </c>
      <c r="Z308" s="83">
        <f t="shared" si="115"/>
        <v>0</v>
      </c>
      <c r="AB308" s="12"/>
      <c r="AC308" s="13">
        <f t="shared" si="91"/>
        <v>2042</v>
      </c>
      <c r="AD308" s="83">
        <f t="shared" si="92"/>
        <v>1031732.1147122</v>
      </c>
      <c r="AE308" s="83">
        <f t="shared" si="93"/>
        <v>3534812.5445360001</v>
      </c>
      <c r="AF308" s="83">
        <f t="shared" si="94"/>
        <v>2184906.9909068001</v>
      </c>
      <c r="AG308" s="83">
        <f t="shared" si="95"/>
        <v>2338414.4525392</v>
      </c>
      <c r="AH308" s="83">
        <f t="shared" si="96"/>
        <v>2189725.8572722003</v>
      </c>
      <c r="AI308" s="83">
        <f t="shared" si="97"/>
        <v>0</v>
      </c>
    </row>
    <row r="309" spans="1:35">
      <c r="A309" s="12"/>
      <c r="B309" s="13">
        <f t="shared" si="98"/>
        <v>2043</v>
      </c>
      <c r="C309" s="83">
        <f t="shared" si="113"/>
        <v>1065848.8559999999</v>
      </c>
      <c r="D309" s="83">
        <f t="shared" si="116"/>
        <v>3647987.88</v>
      </c>
      <c r="E309" s="83">
        <f t="shared" si="116"/>
        <v>2253504.1740000001</v>
      </c>
      <c r="F309" s="83">
        <f t="shared" si="116"/>
        <v>2413392.7860000003</v>
      </c>
      <c r="G309" s="83">
        <f t="shared" si="116"/>
        <v>2258525.3759999997</v>
      </c>
      <c r="H309" s="83">
        <f t="shared" si="116"/>
        <v>0</v>
      </c>
      <c r="J309" s="12"/>
      <c r="K309" s="13">
        <f t="shared" si="77"/>
        <v>2043</v>
      </c>
      <c r="L309" s="83">
        <f t="shared" si="114"/>
        <v>22063.071319199997</v>
      </c>
      <c r="M309" s="83">
        <f t="shared" si="114"/>
        <v>75513.349115999998</v>
      </c>
      <c r="N309" s="83">
        <f t="shared" si="114"/>
        <v>46647.536401800004</v>
      </c>
      <c r="O309" s="83">
        <f t="shared" si="114"/>
        <v>49957.230670200006</v>
      </c>
      <c r="P309" s="83">
        <f t="shared" si="114"/>
        <v>46751.475283199994</v>
      </c>
      <c r="Q309" s="83">
        <f t="shared" si="114"/>
        <v>0</v>
      </c>
      <c r="S309" s="12"/>
      <c r="T309" s="13">
        <f t="shared" si="84"/>
        <v>2043</v>
      </c>
      <c r="U309" s="83">
        <f t="shared" si="115"/>
        <v>5329.2442799999999</v>
      </c>
      <c r="V309" s="83">
        <f t="shared" si="115"/>
        <v>18239.939399999999</v>
      </c>
      <c r="W309" s="83">
        <f t="shared" si="115"/>
        <v>11267.52087</v>
      </c>
      <c r="X309" s="83">
        <f t="shared" si="115"/>
        <v>12066.963930000002</v>
      </c>
      <c r="Y309" s="83">
        <f t="shared" si="115"/>
        <v>11292.626879999998</v>
      </c>
      <c r="Z309" s="83">
        <f t="shared" si="115"/>
        <v>0</v>
      </c>
      <c r="AB309" s="12"/>
      <c r="AC309" s="13">
        <f t="shared" si="91"/>
        <v>2043</v>
      </c>
      <c r="AD309" s="83">
        <f t="shared" si="92"/>
        <v>1038456.5404007999</v>
      </c>
      <c r="AE309" s="83">
        <f t="shared" si="93"/>
        <v>3554234.591484</v>
      </c>
      <c r="AF309" s="83">
        <f t="shared" si="94"/>
        <v>2195589.1167282001</v>
      </c>
      <c r="AG309" s="83">
        <f t="shared" si="95"/>
        <v>2351368.5913998</v>
      </c>
      <c r="AH309" s="83">
        <f t="shared" si="96"/>
        <v>2200481.2738367999</v>
      </c>
      <c r="AI309" s="83">
        <f t="shared" si="97"/>
        <v>0</v>
      </c>
    </row>
    <row r="310" spans="1:35">
      <c r="A310" s="43"/>
      <c r="B310" s="13">
        <f t="shared" si="98"/>
        <v>2044</v>
      </c>
      <c r="C310" s="83">
        <f t="shared" si="113"/>
        <v>1072750.6580000001</v>
      </c>
      <c r="D310" s="83">
        <f t="shared" si="116"/>
        <v>3667922.24</v>
      </c>
      <c r="E310" s="83">
        <f t="shared" si="116"/>
        <v>2264468.0719999997</v>
      </c>
      <c r="F310" s="83">
        <f t="shared" si="116"/>
        <v>2426688.628</v>
      </c>
      <c r="G310" s="83">
        <f t="shared" si="116"/>
        <v>2269564.4980000001</v>
      </c>
      <c r="H310" s="83">
        <f t="shared" si="116"/>
        <v>0</v>
      </c>
      <c r="J310" s="43"/>
      <c r="K310" s="13">
        <f t="shared" si="77"/>
        <v>2044</v>
      </c>
      <c r="L310" s="83">
        <f t="shared" si="114"/>
        <v>22205.938620600002</v>
      </c>
      <c r="M310" s="83">
        <f t="shared" si="114"/>
        <v>75925.990367999999</v>
      </c>
      <c r="N310" s="83">
        <f t="shared" si="114"/>
        <v>46874.489090399991</v>
      </c>
      <c r="O310" s="83">
        <f t="shared" si="114"/>
        <v>50232.454599600002</v>
      </c>
      <c r="P310" s="83">
        <f t="shared" si="114"/>
        <v>46979.985108600005</v>
      </c>
      <c r="Q310" s="83">
        <f t="shared" si="114"/>
        <v>0</v>
      </c>
      <c r="S310" s="43"/>
      <c r="T310" s="13">
        <f t="shared" si="84"/>
        <v>2044</v>
      </c>
      <c r="U310" s="83">
        <f t="shared" si="115"/>
        <v>5363.7532900000006</v>
      </c>
      <c r="V310" s="83">
        <f t="shared" si="115"/>
        <v>18339.611200000003</v>
      </c>
      <c r="W310" s="83">
        <f t="shared" si="115"/>
        <v>11322.340359999998</v>
      </c>
      <c r="X310" s="83">
        <f t="shared" si="115"/>
        <v>12133.443140000001</v>
      </c>
      <c r="Y310" s="83">
        <f t="shared" si="115"/>
        <v>11347.82249</v>
      </c>
      <c r="Z310" s="83">
        <f t="shared" si="115"/>
        <v>0</v>
      </c>
      <c r="AB310" s="43"/>
      <c r="AC310" s="13">
        <f t="shared" si="91"/>
        <v>2044</v>
      </c>
      <c r="AD310" s="83">
        <f t="shared" si="92"/>
        <v>1045180.9660894001</v>
      </c>
      <c r="AE310" s="83">
        <f t="shared" si="93"/>
        <v>3573656.6384319998</v>
      </c>
      <c r="AF310" s="83">
        <f t="shared" si="94"/>
        <v>2206271.2425496001</v>
      </c>
      <c r="AG310" s="83">
        <f t="shared" si="95"/>
        <v>2364322.7302604001</v>
      </c>
      <c r="AH310" s="83">
        <f t="shared" si="96"/>
        <v>2211236.6904014</v>
      </c>
      <c r="AI310" s="83">
        <f t="shared" si="97"/>
        <v>0</v>
      </c>
    </row>
    <row r="312" spans="1:35">
      <c r="A312" s="4" t="s">
        <v>94</v>
      </c>
      <c r="J312" s="4" t="s">
        <v>95</v>
      </c>
      <c r="S312" s="4" t="s">
        <v>96</v>
      </c>
    </row>
    <row r="313" spans="1:35">
      <c r="A313" s="134" t="s">
        <v>5</v>
      </c>
      <c r="B313" s="134"/>
      <c r="C313" s="6">
        <v>1</v>
      </c>
      <c r="D313" s="6">
        <v>2</v>
      </c>
      <c r="E313" s="6">
        <v>3</v>
      </c>
      <c r="F313" s="6">
        <v>4</v>
      </c>
      <c r="G313" s="6">
        <v>5</v>
      </c>
      <c r="H313" s="6">
        <v>6</v>
      </c>
      <c r="J313" s="143" t="s">
        <v>5</v>
      </c>
      <c r="K313" s="144"/>
      <c r="L313" s="6">
        <v>1</v>
      </c>
      <c r="M313" s="6">
        <v>2</v>
      </c>
      <c r="N313" s="6">
        <v>3</v>
      </c>
      <c r="O313" s="6">
        <v>4</v>
      </c>
      <c r="P313" s="6">
        <v>5</v>
      </c>
      <c r="Q313" s="6">
        <v>6</v>
      </c>
      <c r="S313" s="143" t="s">
        <v>5</v>
      </c>
      <c r="T313" s="144"/>
      <c r="U313" s="6">
        <v>1</v>
      </c>
      <c r="V313" s="6">
        <v>2</v>
      </c>
      <c r="W313" s="6">
        <v>3</v>
      </c>
      <c r="X313" s="6">
        <v>4</v>
      </c>
      <c r="Y313" s="6">
        <v>5</v>
      </c>
      <c r="Z313" s="6">
        <v>6</v>
      </c>
    </row>
    <row r="314" spans="1:35" ht="31.5">
      <c r="A314" s="134" t="s">
        <v>6</v>
      </c>
      <c r="B314" s="134"/>
      <c r="C314" s="35" t="s">
        <v>101</v>
      </c>
      <c r="D314" s="35" t="s">
        <v>102</v>
      </c>
      <c r="E314" s="35" t="s">
        <v>103</v>
      </c>
      <c r="F314" s="35" t="s">
        <v>104</v>
      </c>
      <c r="G314" s="35" t="s">
        <v>105</v>
      </c>
      <c r="H314" s="35" t="s">
        <v>323</v>
      </c>
      <c r="J314" s="134" t="s">
        <v>6</v>
      </c>
      <c r="K314" s="134"/>
      <c r="L314" s="35" t="s">
        <v>101</v>
      </c>
      <c r="M314" s="35" t="s">
        <v>102</v>
      </c>
      <c r="N314" s="35" t="s">
        <v>103</v>
      </c>
      <c r="O314" s="35" t="s">
        <v>104</v>
      </c>
      <c r="P314" s="35" t="s">
        <v>105</v>
      </c>
      <c r="Q314" s="35" t="s">
        <v>323</v>
      </c>
      <c r="S314" s="134" t="s">
        <v>6</v>
      </c>
      <c r="T314" s="134"/>
      <c r="U314" s="35" t="s">
        <v>101</v>
      </c>
      <c r="V314" s="35" t="s">
        <v>102</v>
      </c>
      <c r="W314" s="35" t="s">
        <v>103</v>
      </c>
      <c r="X314" s="35" t="s">
        <v>104</v>
      </c>
      <c r="Y314" s="35" t="s">
        <v>105</v>
      </c>
      <c r="Z314" s="35" t="s">
        <v>323</v>
      </c>
    </row>
    <row r="315" spans="1:35">
      <c r="A315" s="8"/>
      <c r="B315" s="9" t="s">
        <v>22</v>
      </c>
      <c r="C315" s="36" t="s">
        <v>97</v>
      </c>
      <c r="D315" s="36" t="s">
        <v>97</v>
      </c>
      <c r="E315" s="36" t="s">
        <v>97</v>
      </c>
      <c r="F315" s="36" t="s">
        <v>97</v>
      </c>
      <c r="G315" s="36" t="s">
        <v>97</v>
      </c>
      <c r="H315" s="36" t="s">
        <v>97</v>
      </c>
      <c r="J315" s="8"/>
      <c r="K315" s="9" t="s">
        <v>22</v>
      </c>
      <c r="L315" s="36" t="s">
        <v>97</v>
      </c>
      <c r="M315" s="36" t="s">
        <v>97</v>
      </c>
      <c r="N315" s="36" t="s">
        <v>97</v>
      </c>
      <c r="O315" s="36" t="s">
        <v>97</v>
      </c>
      <c r="P315" s="36" t="s">
        <v>97</v>
      </c>
      <c r="Q315" s="36" t="s">
        <v>97</v>
      </c>
      <c r="S315" s="8"/>
      <c r="T315" s="9" t="s">
        <v>22</v>
      </c>
      <c r="U315" s="36" t="s">
        <v>97</v>
      </c>
      <c r="V315" s="36" t="s">
        <v>97</v>
      </c>
      <c r="W315" s="36" t="s">
        <v>97</v>
      </c>
      <c r="X315" s="36" t="s">
        <v>97</v>
      </c>
      <c r="Y315" s="36" t="s">
        <v>97</v>
      </c>
      <c r="Z315" s="36" t="s">
        <v>97</v>
      </c>
    </row>
    <row r="316" spans="1:35">
      <c r="A316" s="12"/>
      <c r="B316" s="13">
        <f>B281</f>
        <v>2015</v>
      </c>
      <c r="C316" s="60">
        <v>0.42</v>
      </c>
      <c r="D316" s="61">
        <v>0.48</v>
      </c>
      <c r="E316" s="61">
        <v>0.38</v>
      </c>
      <c r="F316" s="61">
        <v>0.39</v>
      </c>
      <c r="G316" s="61">
        <v>0.48</v>
      </c>
      <c r="H316" s="61">
        <v>0</v>
      </c>
      <c r="J316" s="12"/>
      <c r="K316" s="13">
        <f t="shared" ref="K316:K345" si="117">B316</f>
        <v>2015</v>
      </c>
      <c r="L316" s="60">
        <f t="shared" ref="L316:L345" si="118">C316*0.75</f>
        <v>0.315</v>
      </c>
      <c r="M316" s="60">
        <f t="shared" ref="M316:M345" si="119">D316*0.75</f>
        <v>0.36</v>
      </c>
      <c r="N316" s="60">
        <f t="shared" ref="N316:N345" si="120">E316*0.75</f>
        <v>0.28500000000000003</v>
      </c>
      <c r="O316" s="60">
        <f t="shared" ref="O316:O345" si="121">F316*0.75</f>
        <v>0.29249999999999998</v>
      </c>
      <c r="P316" s="60">
        <f t="shared" ref="P316:P345" si="122">G316*0.75</f>
        <v>0.36</v>
      </c>
      <c r="Q316" s="60">
        <f t="shared" ref="Q316:Q345" si="123">H316*0.75</f>
        <v>0</v>
      </c>
      <c r="S316" s="12"/>
      <c r="T316" s="13">
        <f t="shared" ref="T316:T345" si="124">K316</f>
        <v>2015</v>
      </c>
      <c r="U316" s="60">
        <f t="shared" ref="U316:U345" si="125">C316*1.05</f>
        <v>0.441</v>
      </c>
      <c r="V316" s="60">
        <f t="shared" ref="V316:V345" si="126">D316*1.05</f>
        <v>0.504</v>
      </c>
      <c r="W316" s="60">
        <f t="shared" ref="W316:W345" si="127">E316*1.05</f>
        <v>0.39900000000000002</v>
      </c>
      <c r="X316" s="60">
        <f t="shared" ref="X316:X345" si="128">F316*1.05</f>
        <v>0.40950000000000003</v>
      </c>
      <c r="Y316" s="60">
        <f t="shared" ref="Y316:Y345" si="129">G316*1.05</f>
        <v>0.504</v>
      </c>
      <c r="Z316" s="60">
        <f t="shared" ref="Z316:Z345" si="130">H316*1.05</f>
        <v>0</v>
      </c>
    </row>
    <row r="317" spans="1:35">
      <c r="A317" s="12"/>
      <c r="B317" s="13">
        <f t="shared" ref="B317:B345" si="131">B282</f>
        <v>2016</v>
      </c>
      <c r="C317" s="60">
        <v>0.42</v>
      </c>
      <c r="D317" s="61">
        <v>0.48</v>
      </c>
      <c r="E317" s="61">
        <v>0.38</v>
      </c>
      <c r="F317" s="61">
        <v>0.39</v>
      </c>
      <c r="G317" s="61">
        <v>0.48</v>
      </c>
      <c r="H317" s="61">
        <v>0</v>
      </c>
      <c r="J317" s="12"/>
      <c r="K317" s="13">
        <f t="shared" si="117"/>
        <v>2016</v>
      </c>
      <c r="L317" s="60">
        <f t="shared" si="118"/>
        <v>0.315</v>
      </c>
      <c r="M317" s="60">
        <f t="shared" si="119"/>
        <v>0.36</v>
      </c>
      <c r="N317" s="60">
        <f t="shared" si="120"/>
        <v>0.28500000000000003</v>
      </c>
      <c r="O317" s="60">
        <f t="shared" si="121"/>
        <v>0.29249999999999998</v>
      </c>
      <c r="P317" s="60">
        <f t="shared" si="122"/>
        <v>0.36</v>
      </c>
      <c r="Q317" s="60">
        <f t="shared" si="123"/>
        <v>0</v>
      </c>
      <c r="S317" s="12"/>
      <c r="T317" s="13">
        <f t="shared" si="124"/>
        <v>2016</v>
      </c>
      <c r="U317" s="60">
        <f t="shared" si="125"/>
        <v>0.441</v>
      </c>
      <c r="V317" s="60">
        <f t="shared" si="126"/>
        <v>0.504</v>
      </c>
      <c r="W317" s="60">
        <f t="shared" si="127"/>
        <v>0.39900000000000002</v>
      </c>
      <c r="X317" s="60">
        <f t="shared" si="128"/>
        <v>0.40950000000000003</v>
      </c>
      <c r="Y317" s="60">
        <f t="shared" si="129"/>
        <v>0.504</v>
      </c>
      <c r="Z317" s="60">
        <f t="shared" si="130"/>
        <v>0</v>
      </c>
    </row>
    <row r="318" spans="1:35">
      <c r="A318" s="12"/>
      <c r="B318" s="13">
        <f t="shared" si="131"/>
        <v>2017</v>
      </c>
      <c r="C318" s="60">
        <v>0.42</v>
      </c>
      <c r="D318" s="61">
        <v>0.48</v>
      </c>
      <c r="E318" s="61">
        <v>0.38</v>
      </c>
      <c r="F318" s="61">
        <v>0.39</v>
      </c>
      <c r="G318" s="61">
        <v>0.48</v>
      </c>
      <c r="H318" s="61">
        <v>0</v>
      </c>
      <c r="J318" s="12"/>
      <c r="K318" s="13">
        <f t="shared" si="117"/>
        <v>2017</v>
      </c>
      <c r="L318" s="60">
        <f t="shared" si="118"/>
        <v>0.315</v>
      </c>
      <c r="M318" s="60">
        <f t="shared" si="119"/>
        <v>0.36</v>
      </c>
      <c r="N318" s="60">
        <f t="shared" si="120"/>
        <v>0.28500000000000003</v>
      </c>
      <c r="O318" s="60">
        <f t="shared" si="121"/>
        <v>0.29249999999999998</v>
      </c>
      <c r="P318" s="60">
        <f t="shared" si="122"/>
        <v>0.36</v>
      </c>
      <c r="Q318" s="60">
        <f t="shared" si="123"/>
        <v>0</v>
      </c>
      <c r="S318" s="12"/>
      <c r="T318" s="13">
        <f t="shared" si="124"/>
        <v>2017</v>
      </c>
      <c r="U318" s="60">
        <f t="shared" si="125"/>
        <v>0.441</v>
      </c>
      <c r="V318" s="60">
        <f t="shared" si="126"/>
        <v>0.504</v>
      </c>
      <c r="W318" s="60">
        <f t="shared" si="127"/>
        <v>0.39900000000000002</v>
      </c>
      <c r="X318" s="60">
        <f t="shared" si="128"/>
        <v>0.40950000000000003</v>
      </c>
      <c r="Y318" s="60">
        <f t="shared" si="129"/>
        <v>0.504</v>
      </c>
      <c r="Z318" s="60">
        <f t="shared" si="130"/>
        <v>0</v>
      </c>
    </row>
    <row r="319" spans="1:35">
      <c r="A319" s="12"/>
      <c r="B319" s="13">
        <f t="shared" si="131"/>
        <v>2018</v>
      </c>
      <c r="C319" s="60">
        <v>0.42</v>
      </c>
      <c r="D319" s="61">
        <v>0.48</v>
      </c>
      <c r="E319" s="61">
        <v>0.38</v>
      </c>
      <c r="F319" s="61">
        <v>0.39</v>
      </c>
      <c r="G319" s="61">
        <v>0.48</v>
      </c>
      <c r="H319" s="61">
        <v>0</v>
      </c>
      <c r="J319" s="12"/>
      <c r="K319" s="13">
        <f t="shared" si="117"/>
        <v>2018</v>
      </c>
      <c r="L319" s="60">
        <f t="shared" si="118"/>
        <v>0.315</v>
      </c>
      <c r="M319" s="60">
        <f t="shared" si="119"/>
        <v>0.36</v>
      </c>
      <c r="N319" s="60">
        <f t="shared" si="120"/>
        <v>0.28500000000000003</v>
      </c>
      <c r="O319" s="60">
        <f t="shared" si="121"/>
        <v>0.29249999999999998</v>
      </c>
      <c r="P319" s="60">
        <f t="shared" si="122"/>
        <v>0.36</v>
      </c>
      <c r="Q319" s="60">
        <f t="shared" si="123"/>
        <v>0</v>
      </c>
      <c r="S319" s="12"/>
      <c r="T319" s="13">
        <f t="shared" si="124"/>
        <v>2018</v>
      </c>
      <c r="U319" s="60">
        <f t="shared" si="125"/>
        <v>0.441</v>
      </c>
      <c r="V319" s="60">
        <f t="shared" si="126"/>
        <v>0.504</v>
      </c>
      <c r="W319" s="60">
        <f t="shared" si="127"/>
        <v>0.39900000000000002</v>
      </c>
      <c r="X319" s="60">
        <f t="shared" si="128"/>
        <v>0.40950000000000003</v>
      </c>
      <c r="Y319" s="60">
        <f t="shared" si="129"/>
        <v>0.504</v>
      </c>
      <c r="Z319" s="60">
        <f t="shared" si="130"/>
        <v>0</v>
      </c>
    </row>
    <row r="320" spans="1:35">
      <c r="A320" s="12"/>
      <c r="B320" s="13">
        <f t="shared" si="131"/>
        <v>2019</v>
      </c>
      <c r="C320" s="60">
        <v>0.42</v>
      </c>
      <c r="D320" s="61">
        <v>0.48</v>
      </c>
      <c r="E320" s="61">
        <v>0.38</v>
      </c>
      <c r="F320" s="61">
        <v>0.39</v>
      </c>
      <c r="G320" s="61">
        <v>0.48</v>
      </c>
      <c r="H320" s="61">
        <v>0</v>
      </c>
      <c r="J320" s="12"/>
      <c r="K320" s="13">
        <f t="shared" si="117"/>
        <v>2019</v>
      </c>
      <c r="L320" s="60">
        <f t="shared" si="118"/>
        <v>0.315</v>
      </c>
      <c r="M320" s="60">
        <f t="shared" si="119"/>
        <v>0.36</v>
      </c>
      <c r="N320" s="60">
        <f t="shared" si="120"/>
        <v>0.28500000000000003</v>
      </c>
      <c r="O320" s="60">
        <f t="shared" si="121"/>
        <v>0.29249999999999998</v>
      </c>
      <c r="P320" s="60">
        <f t="shared" si="122"/>
        <v>0.36</v>
      </c>
      <c r="Q320" s="60">
        <f t="shared" si="123"/>
        <v>0</v>
      </c>
      <c r="S320" s="12"/>
      <c r="T320" s="13">
        <f t="shared" si="124"/>
        <v>2019</v>
      </c>
      <c r="U320" s="60">
        <f t="shared" si="125"/>
        <v>0.441</v>
      </c>
      <c r="V320" s="60">
        <f t="shared" si="126"/>
        <v>0.504</v>
      </c>
      <c r="W320" s="60">
        <f t="shared" si="127"/>
        <v>0.39900000000000002</v>
      </c>
      <c r="X320" s="60">
        <f t="shared" si="128"/>
        <v>0.40950000000000003</v>
      </c>
      <c r="Y320" s="60">
        <f t="shared" si="129"/>
        <v>0.504</v>
      </c>
      <c r="Z320" s="60">
        <f t="shared" si="130"/>
        <v>0</v>
      </c>
    </row>
    <row r="321" spans="1:26">
      <c r="A321" s="12"/>
      <c r="B321" s="13">
        <f t="shared" si="131"/>
        <v>2020</v>
      </c>
      <c r="C321" s="60">
        <v>0.42</v>
      </c>
      <c r="D321" s="61">
        <v>0.48</v>
      </c>
      <c r="E321" s="61">
        <v>0.38</v>
      </c>
      <c r="F321" s="61">
        <v>0.39</v>
      </c>
      <c r="G321" s="61">
        <v>0.48</v>
      </c>
      <c r="H321" s="61">
        <v>0</v>
      </c>
      <c r="J321" s="12"/>
      <c r="K321" s="13">
        <f t="shared" si="117"/>
        <v>2020</v>
      </c>
      <c r="L321" s="60">
        <f t="shared" si="118"/>
        <v>0.315</v>
      </c>
      <c r="M321" s="60">
        <f t="shared" si="119"/>
        <v>0.36</v>
      </c>
      <c r="N321" s="60">
        <f t="shared" si="120"/>
        <v>0.28500000000000003</v>
      </c>
      <c r="O321" s="60">
        <f t="shared" si="121"/>
        <v>0.29249999999999998</v>
      </c>
      <c r="P321" s="60">
        <f t="shared" si="122"/>
        <v>0.36</v>
      </c>
      <c r="Q321" s="60">
        <f t="shared" si="123"/>
        <v>0</v>
      </c>
      <c r="S321" s="12"/>
      <c r="T321" s="13">
        <f t="shared" si="124"/>
        <v>2020</v>
      </c>
      <c r="U321" s="60">
        <f t="shared" si="125"/>
        <v>0.441</v>
      </c>
      <c r="V321" s="60">
        <f t="shared" si="126"/>
        <v>0.504</v>
      </c>
      <c r="W321" s="60">
        <f t="shared" si="127"/>
        <v>0.39900000000000002</v>
      </c>
      <c r="X321" s="60">
        <f t="shared" si="128"/>
        <v>0.40950000000000003</v>
      </c>
      <c r="Y321" s="60">
        <f t="shared" si="129"/>
        <v>0.504</v>
      </c>
      <c r="Z321" s="60">
        <f t="shared" si="130"/>
        <v>0</v>
      </c>
    </row>
    <row r="322" spans="1:26">
      <c r="A322" s="12"/>
      <c r="B322" s="13">
        <f t="shared" si="131"/>
        <v>2021</v>
      </c>
      <c r="C322" s="60">
        <v>0.42</v>
      </c>
      <c r="D322" s="61">
        <v>0.48</v>
      </c>
      <c r="E322" s="61">
        <v>0.38</v>
      </c>
      <c r="F322" s="61">
        <v>0.39</v>
      </c>
      <c r="G322" s="61">
        <v>0.48</v>
      </c>
      <c r="H322" s="61">
        <v>0</v>
      </c>
      <c r="J322" s="12"/>
      <c r="K322" s="13">
        <f t="shared" si="117"/>
        <v>2021</v>
      </c>
      <c r="L322" s="60">
        <f t="shared" si="118"/>
        <v>0.315</v>
      </c>
      <c r="M322" s="60">
        <f t="shared" si="119"/>
        <v>0.36</v>
      </c>
      <c r="N322" s="60">
        <f t="shared" si="120"/>
        <v>0.28500000000000003</v>
      </c>
      <c r="O322" s="60">
        <f t="shared" si="121"/>
        <v>0.29249999999999998</v>
      </c>
      <c r="P322" s="60">
        <f t="shared" si="122"/>
        <v>0.36</v>
      </c>
      <c r="Q322" s="60">
        <f t="shared" si="123"/>
        <v>0</v>
      </c>
      <c r="S322" s="12"/>
      <c r="T322" s="13">
        <f t="shared" si="124"/>
        <v>2021</v>
      </c>
      <c r="U322" s="60">
        <f t="shared" si="125"/>
        <v>0.441</v>
      </c>
      <c r="V322" s="60">
        <f t="shared" si="126"/>
        <v>0.504</v>
      </c>
      <c r="W322" s="60">
        <f t="shared" si="127"/>
        <v>0.39900000000000002</v>
      </c>
      <c r="X322" s="60">
        <f t="shared" si="128"/>
        <v>0.40950000000000003</v>
      </c>
      <c r="Y322" s="60">
        <f t="shared" si="129"/>
        <v>0.504</v>
      </c>
      <c r="Z322" s="60">
        <f t="shared" si="130"/>
        <v>0</v>
      </c>
    </row>
    <row r="323" spans="1:26">
      <c r="A323" s="12"/>
      <c r="B323" s="13">
        <f t="shared" si="131"/>
        <v>2022</v>
      </c>
      <c r="C323" s="60">
        <v>0.42</v>
      </c>
      <c r="D323" s="61">
        <v>0.48</v>
      </c>
      <c r="E323" s="61">
        <v>0.38</v>
      </c>
      <c r="F323" s="61">
        <v>0.39</v>
      </c>
      <c r="G323" s="61">
        <v>0.48</v>
      </c>
      <c r="H323" s="61">
        <v>0</v>
      </c>
      <c r="J323" s="12"/>
      <c r="K323" s="13">
        <f t="shared" si="117"/>
        <v>2022</v>
      </c>
      <c r="L323" s="60">
        <f t="shared" si="118"/>
        <v>0.315</v>
      </c>
      <c r="M323" s="60">
        <f t="shared" si="119"/>
        <v>0.36</v>
      </c>
      <c r="N323" s="60">
        <f t="shared" si="120"/>
        <v>0.28500000000000003</v>
      </c>
      <c r="O323" s="60">
        <f t="shared" si="121"/>
        <v>0.29249999999999998</v>
      </c>
      <c r="P323" s="60">
        <f t="shared" si="122"/>
        <v>0.36</v>
      </c>
      <c r="Q323" s="60">
        <f t="shared" si="123"/>
        <v>0</v>
      </c>
      <c r="S323" s="12"/>
      <c r="T323" s="13">
        <f t="shared" si="124"/>
        <v>2022</v>
      </c>
      <c r="U323" s="60">
        <f t="shared" si="125"/>
        <v>0.441</v>
      </c>
      <c r="V323" s="60">
        <f t="shared" si="126"/>
        <v>0.504</v>
      </c>
      <c r="W323" s="60">
        <f t="shared" si="127"/>
        <v>0.39900000000000002</v>
      </c>
      <c r="X323" s="60">
        <f t="shared" si="128"/>
        <v>0.40950000000000003</v>
      </c>
      <c r="Y323" s="60">
        <f t="shared" si="129"/>
        <v>0.504</v>
      </c>
      <c r="Z323" s="60">
        <f t="shared" si="130"/>
        <v>0</v>
      </c>
    </row>
    <row r="324" spans="1:26">
      <c r="A324" s="12"/>
      <c r="B324" s="13">
        <f t="shared" si="131"/>
        <v>2023</v>
      </c>
      <c r="C324" s="60">
        <v>0.42</v>
      </c>
      <c r="D324" s="61">
        <v>0.48</v>
      </c>
      <c r="E324" s="61">
        <v>0.38</v>
      </c>
      <c r="F324" s="61">
        <v>0.39</v>
      </c>
      <c r="G324" s="61">
        <v>0.48</v>
      </c>
      <c r="H324" s="61">
        <v>0</v>
      </c>
      <c r="J324" s="12"/>
      <c r="K324" s="13">
        <f t="shared" si="117"/>
        <v>2023</v>
      </c>
      <c r="L324" s="60">
        <f t="shared" si="118"/>
        <v>0.315</v>
      </c>
      <c r="M324" s="60">
        <f t="shared" si="119"/>
        <v>0.36</v>
      </c>
      <c r="N324" s="60">
        <f t="shared" si="120"/>
        <v>0.28500000000000003</v>
      </c>
      <c r="O324" s="60">
        <f t="shared" si="121"/>
        <v>0.29249999999999998</v>
      </c>
      <c r="P324" s="60">
        <f t="shared" si="122"/>
        <v>0.36</v>
      </c>
      <c r="Q324" s="60">
        <f t="shared" si="123"/>
        <v>0</v>
      </c>
      <c r="S324" s="12"/>
      <c r="T324" s="13">
        <f t="shared" si="124"/>
        <v>2023</v>
      </c>
      <c r="U324" s="60">
        <f t="shared" si="125"/>
        <v>0.441</v>
      </c>
      <c r="V324" s="60">
        <f t="shared" si="126"/>
        <v>0.504</v>
      </c>
      <c r="W324" s="60">
        <f t="shared" si="127"/>
        <v>0.39900000000000002</v>
      </c>
      <c r="X324" s="60">
        <f t="shared" si="128"/>
        <v>0.40950000000000003</v>
      </c>
      <c r="Y324" s="60">
        <f t="shared" si="129"/>
        <v>0.504</v>
      </c>
      <c r="Z324" s="60">
        <f t="shared" si="130"/>
        <v>0</v>
      </c>
    </row>
    <row r="325" spans="1:26">
      <c r="A325" s="12"/>
      <c r="B325" s="13">
        <f t="shared" si="131"/>
        <v>2024</v>
      </c>
      <c r="C325" s="60">
        <v>0.42</v>
      </c>
      <c r="D325" s="61">
        <v>0.48</v>
      </c>
      <c r="E325" s="61">
        <v>0.38</v>
      </c>
      <c r="F325" s="61">
        <v>0.39</v>
      </c>
      <c r="G325" s="61">
        <v>0.48</v>
      </c>
      <c r="H325" s="61">
        <v>0</v>
      </c>
      <c r="J325" s="12"/>
      <c r="K325" s="13">
        <f t="shared" si="117"/>
        <v>2024</v>
      </c>
      <c r="L325" s="60">
        <f t="shared" si="118"/>
        <v>0.315</v>
      </c>
      <c r="M325" s="60">
        <f t="shared" si="119"/>
        <v>0.36</v>
      </c>
      <c r="N325" s="60">
        <f t="shared" si="120"/>
        <v>0.28500000000000003</v>
      </c>
      <c r="O325" s="60">
        <f t="shared" si="121"/>
        <v>0.29249999999999998</v>
      </c>
      <c r="P325" s="60">
        <f t="shared" si="122"/>
        <v>0.36</v>
      </c>
      <c r="Q325" s="60">
        <f t="shared" si="123"/>
        <v>0</v>
      </c>
      <c r="S325" s="12"/>
      <c r="T325" s="13">
        <f t="shared" si="124"/>
        <v>2024</v>
      </c>
      <c r="U325" s="60">
        <f t="shared" si="125"/>
        <v>0.441</v>
      </c>
      <c r="V325" s="60">
        <f t="shared" si="126"/>
        <v>0.504</v>
      </c>
      <c r="W325" s="60">
        <f t="shared" si="127"/>
        <v>0.39900000000000002</v>
      </c>
      <c r="X325" s="60">
        <f t="shared" si="128"/>
        <v>0.40950000000000003</v>
      </c>
      <c r="Y325" s="60">
        <f t="shared" si="129"/>
        <v>0.504</v>
      </c>
      <c r="Z325" s="60">
        <f t="shared" si="130"/>
        <v>0</v>
      </c>
    </row>
    <row r="326" spans="1:26">
      <c r="A326" s="12"/>
      <c r="B326" s="13">
        <f t="shared" si="131"/>
        <v>2025</v>
      </c>
      <c r="C326" s="60">
        <v>0.41</v>
      </c>
      <c r="D326" s="61">
        <v>0.45</v>
      </c>
      <c r="E326" s="61">
        <v>0.37</v>
      </c>
      <c r="F326" s="61">
        <v>0.38</v>
      </c>
      <c r="G326" s="61">
        <v>0.68</v>
      </c>
      <c r="H326" s="61">
        <v>0</v>
      </c>
      <c r="J326" s="12"/>
      <c r="K326" s="13">
        <f t="shared" si="117"/>
        <v>2025</v>
      </c>
      <c r="L326" s="60">
        <f t="shared" si="118"/>
        <v>0.3075</v>
      </c>
      <c r="M326" s="60">
        <f t="shared" si="119"/>
        <v>0.33750000000000002</v>
      </c>
      <c r="N326" s="60">
        <f t="shared" si="120"/>
        <v>0.27749999999999997</v>
      </c>
      <c r="O326" s="60">
        <f t="shared" si="121"/>
        <v>0.28500000000000003</v>
      </c>
      <c r="P326" s="60">
        <f t="shared" si="122"/>
        <v>0.51</v>
      </c>
      <c r="Q326" s="60">
        <f t="shared" si="123"/>
        <v>0</v>
      </c>
      <c r="S326" s="12"/>
      <c r="T326" s="13">
        <f t="shared" si="124"/>
        <v>2025</v>
      </c>
      <c r="U326" s="60">
        <f t="shared" si="125"/>
        <v>0.43049999999999999</v>
      </c>
      <c r="V326" s="60">
        <f t="shared" si="126"/>
        <v>0.47250000000000003</v>
      </c>
      <c r="W326" s="60">
        <f t="shared" si="127"/>
        <v>0.38850000000000001</v>
      </c>
      <c r="X326" s="60">
        <f t="shared" si="128"/>
        <v>0.39900000000000002</v>
      </c>
      <c r="Y326" s="60">
        <f t="shared" si="129"/>
        <v>0.71400000000000008</v>
      </c>
      <c r="Z326" s="60">
        <f t="shared" si="130"/>
        <v>0</v>
      </c>
    </row>
    <row r="327" spans="1:26">
      <c r="A327" s="12"/>
      <c r="B327" s="13">
        <f t="shared" si="131"/>
        <v>2026</v>
      </c>
      <c r="C327" s="60">
        <v>0.41</v>
      </c>
      <c r="D327" s="61">
        <v>0.45</v>
      </c>
      <c r="E327" s="61">
        <v>0.37</v>
      </c>
      <c r="F327" s="61">
        <v>0.38</v>
      </c>
      <c r="G327" s="61">
        <v>0.68</v>
      </c>
      <c r="H327" s="61">
        <v>0</v>
      </c>
      <c r="J327" s="12"/>
      <c r="K327" s="13">
        <f t="shared" si="117"/>
        <v>2026</v>
      </c>
      <c r="L327" s="60">
        <f t="shared" si="118"/>
        <v>0.3075</v>
      </c>
      <c r="M327" s="60">
        <f t="shared" si="119"/>
        <v>0.33750000000000002</v>
      </c>
      <c r="N327" s="60">
        <f t="shared" si="120"/>
        <v>0.27749999999999997</v>
      </c>
      <c r="O327" s="60">
        <f t="shared" si="121"/>
        <v>0.28500000000000003</v>
      </c>
      <c r="P327" s="60">
        <f t="shared" si="122"/>
        <v>0.51</v>
      </c>
      <c r="Q327" s="60">
        <f t="shared" si="123"/>
        <v>0</v>
      </c>
      <c r="S327" s="12"/>
      <c r="T327" s="13">
        <f t="shared" si="124"/>
        <v>2026</v>
      </c>
      <c r="U327" s="60">
        <f t="shared" si="125"/>
        <v>0.43049999999999999</v>
      </c>
      <c r="V327" s="60">
        <f t="shared" si="126"/>
        <v>0.47250000000000003</v>
      </c>
      <c r="W327" s="60">
        <f t="shared" si="127"/>
        <v>0.38850000000000001</v>
      </c>
      <c r="X327" s="60">
        <f t="shared" si="128"/>
        <v>0.39900000000000002</v>
      </c>
      <c r="Y327" s="60">
        <f t="shared" si="129"/>
        <v>0.71400000000000008</v>
      </c>
      <c r="Z327" s="60">
        <f t="shared" si="130"/>
        <v>0</v>
      </c>
    </row>
    <row r="328" spans="1:26">
      <c r="A328" s="12"/>
      <c r="B328" s="13">
        <f t="shared" si="131"/>
        <v>2027</v>
      </c>
      <c r="C328" s="60">
        <v>0.41</v>
      </c>
      <c r="D328" s="61">
        <v>0.45</v>
      </c>
      <c r="E328" s="61">
        <v>0.37</v>
      </c>
      <c r="F328" s="61">
        <v>0.38</v>
      </c>
      <c r="G328" s="61">
        <v>0.68</v>
      </c>
      <c r="H328" s="61">
        <v>0</v>
      </c>
      <c r="J328" s="12"/>
      <c r="K328" s="13">
        <f t="shared" si="117"/>
        <v>2027</v>
      </c>
      <c r="L328" s="60">
        <f t="shared" si="118"/>
        <v>0.3075</v>
      </c>
      <c r="M328" s="60">
        <f t="shared" si="119"/>
        <v>0.33750000000000002</v>
      </c>
      <c r="N328" s="60">
        <f t="shared" si="120"/>
        <v>0.27749999999999997</v>
      </c>
      <c r="O328" s="60">
        <f t="shared" si="121"/>
        <v>0.28500000000000003</v>
      </c>
      <c r="P328" s="60">
        <f t="shared" si="122"/>
        <v>0.51</v>
      </c>
      <c r="Q328" s="60">
        <f t="shared" si="123"/>
        <v>0</v>
      </c>
      <c r="S328" s="12"/>
      <c r="T328" s="13">
        <f t="shared" si="124"/>
        <v>2027</v>
      </c>
      <c r="U328" s="60">
        <f t="shared" si="125"/>
        <v>0.43049999999999999</v>
      </c>
      <c r="V328" s="60">
        <f t="shared" si="126"/>
        <v>0.47250000000000003</v>
      </c>
      <c r="W328" s="60">
        <f t="shared" si="127"/>
        <v>0.38850000000000001</v>
      </c>
      <c r="X328" s="60">
        <f t="shared" si="128"/>
        <v>0.39900000000000002</v>
      </c>
      <c r="Y328" s="60">
        <f t="shared" si="129"/>
        <v>0.71400000000000008</v>
      </c>
      <c r="Z328" s="60">
        <f t="shared" si="130"/>
        <v>0</v>
      </c>
    </row>
    <row r="329" spans="1:26">
      <c r="A329" s="12"/>
      <c r="B329" s="13">
        <f t="shared" si="131"/>
        <v>2028</v>
      </c>
      <c r="C329" s="60">
        <v>0.41</v>
      </c>
      <c r="D329" s="61">
        <v>0.45</v>
      </c>
      <c r="E329" s="61">
        <v>0.37</v>
      </c>
      <c r="F329" s="61">
        <v>0.38</v>
      </c>
      <c r="G329" s="61">
        <v>0.68</v>
      </c>
      <c r="H329" s="61">
        <v>0</v>
      </c>
      <c r="J329" s="12"/>
      <c r="K329" s="13">
        <f t="shared" si="117"/>
        <v>2028</v>
      </c>
      <c r="L329" s="60">
        <f t="shared" si="118"/>
        <v>0.3075</v>
      </c>
      <c r="M329" s="60">
        <f t="shared" si="119"/>
        <v>0.33750000000000002</v>
      </c>
      <c r="N329" s="60">
        <f t="shared" si="120"/>
        <v>0.27749999999999997</v>
      </c>
      <c r="O329" s="60">
        <f t="shared" si="121"/>
        <v>0.28500000000000003</v>
      </c>
      <c r="P329" s="60">
        <f t="shared" si="122"/>
        <v>0.51</v>
      </c>
      <c r="Q329" s="60">
        <f t="shared" si="123"/>
        <v>0</v>
      </c>
      <c r="S329" s="12"/>
      <c r="T329" s="13">
        <f t="shared" si="124"/>
        <v>2028</v>
      </c>
      <c r="U329" s="60">
        <f t="shared" si="125"/>
        <v>0.43049999999999999</v>
      </c>
      <c r="V329" s="60">
        <f t="shared" si="126"/>
        <v>0.47250000000000003</v>
      </c>
      <c r="W329" s="60">
        <f t="shared" si="127"/>
        <v>0.38850000000000001</v>
      </c>
      <c r="X329" s="60">
        <f t="shared" si="128"/>
        <v>0.39900000000000002</v>
      </c>
      <c r="Y329" s="60">
        <f t="shared" si="129"/>
        <v>0.71400000000000008</v>
      </c>
      <c r="Z329" s="60">
        <f t="shared" si="130"/>
        <v>0</v>
      </c>
    </row>
    <row r="330" spans="1:26">
      <c r="A330" s="12"/>
      <c r="B330" s="13">
        <f t="shared" si="131"/>
        <v>2029</v>
      </c>
      <c r="C330" s="60">
        <v>0.41</v>
      </c>
      <c r="D330" s="61">
        <v>0.45</v>
      </c>
      <c r="E330" s="61">
        <v>0.37</v>
      </c>
      <c r="F330" s="61">
        <v>0.38</v>
      </c>
      <c r="G330" s="61">
        <v>0.68</v>
      </c>
      <c r="H330" s="61">
        <v>0</v>
      </c>
      <c r="J330" s="12"/>
      <c r="K330" s="13">
        <f t="shared" si="117"/>
        <v>2029</v>
      </c>
      <c r="L330" s="60">
        <f t="shared" si="118"/>
        <v>0.3075</v>
      </c>
      <c r="M330" s="60">
        <f t="shared" si="119"/>
        <v>0.33750000000000002</v>
      </c>
      <c r="N330" s="60">
        <f t="shared" si="120"/>
        <v>0.27749999999999997</v>
      </c>
      <c r="O330" s="60">
        <f t="shared" si="121"/>
        <v>0.28500000000000003</v>
      </c>
      <c r="P330" s="60">
        <f t="shared" si="122"/>
        <v>0.51</v>
      </c>
      <c r="Q330" s="60">
        <f t="shared" si="123"/>
        <v>0</v>
      </c>
      <c r="S330" s="12"/>
      <c r="T330" s="13">
        <f t="shared" si="124"/>
        <v>2029</v>
      </c>
      <c r="U330" s="60">
        <f t="shared" si="125"/>
        <v>0.43049999999999999</v>
      </c>
      <c r="V330" s="60">
        <f t="shared" si="126"/>
        <v>0.47250000000000003</v>
      </c>
      <c r="W330" s="60">
        <f t="shared" si="127"/>
        <v>0.38850000000000001</v>
      </c>
      <c r="X330" s="60">
        <f t="shared" si="128"/>
        <v>0.39900000000000002</v>
      </c>
      <c r="Y330" s="60">
        <f t="shared" si="129"/>
        <v>0.71400000000000008</v>
      </c>
      <c r="Z330" s="60">
        <f t="shared" si="130"/>
        <v>0</v>
      </c>
    </row>
    <row r="331" spans="1:26">
      <c r="A331" s="12"/>
      <c r="B331" s="13">
        <f t="shared" si="131"/>
        <v>2030</v>
      </c>
      <c r="C331" s="60">
        <v>0.41</v>
      </c>
      <c r="D331" s="61">
        <v>0.45</v>
      </c>
      <c r="E331" s="61">
        <v>0.37</v>
      </c>
      <c r="F331" s="61">
        <v>0.38</v>
      </c>
      <c r="G331" s="61">
        <v>0.68</v>
      </c>
      <c r="H331" s="61">
        <v>0</v>
      </c>
      <c r="J331" s="12"/>
      <c r="K331" s="13">
        <f t="shared" si="117"/>
        <v>2030</v>
      </c>
      <c r="L331" s="60">
        <f t="shared" si="118"/>
        <v>0.3075</v>
      </c>
      <c r="M331" s="60">
        <f t="shared" si="119"/>
        <v>0.33750000000000002</v>
      </c>
      <c r="N331" s="60">
        <f t="shared" si="120"/>
        <v>0.27749999999999997</v>
      </c>
      <c r="O331" s="60">
        <f t="shared" si="121"/>
        <v>0.28500000000000003</v>
      </c>
      <c r="P331" s="60">
        <f t="shared" si="122"/>
        <v>0.51</v>
      </c>
      <c r="Q331" s="60">
        <f t="shared" si="123"/>
        <v>0</v>
      </c>
      <c r="S331" s="12"/>
      <c r="T331" s="13">
        <f t="shared" si="124"/>
        <v>2030</v>
      </c>
      <c r="U331" s="60">
        <f t="shared" si="125"/>
        <v>0.43049999999999999</v>
      </c>
      <c r="V331" s="60">
        <f t="shared" si="126"/>
        <v>0.47250000000000003</v>
      </c>
      <c r="W331" s="60">
        <f t="shared" si="127"/>
        <v>0.38850000000000001</v>
      </c>
      <c r="X331" s="60">
        <f t="shared" si="128"/>
        <v>0.39900000000000002</v>
      </c>
      <c r="Y331" s="60">
        <f t="shared" si="129"/>
        <v>0.71400000000000008</v>
      </c>
      <c r="Z331" s="60">
        <f t="shared" si="130"/>
        <v>0</v>
      </c>
    </row>
    <row r="332" spans="1:26">
      <c r="A332" s="12"/>
      <c r="B332" s="13">
        <f t="shared" si="131"/>
        <v>2031</v>
      </c>
      <c r="C332" s="60">
        <v>0.41</v>
      </c>
      <c r="D332" s="61">
        <v>0.45</v>
      </c>
      <c r="E332" s="61">
        <v>0.37</v>
      </c>
      <c r="F332" s="61">
        <v>0.38</v>
      </c>
      <c r="G332" s="61">
        <v>0.68</v>
      </c>
      <c r="H332" s="61">
        <v>0</v>
      </c>
      <c r="J332" s="12"/>
      <c r="K332" s="13">
        <f t="shared" si="117"/>
        <v>2031</v>
      </c>
      <c r="L332" s="60">
        <f t="shared" si="118"/>
        <v>0.3075</v>
      </c>
      <c r="M332" s="60">
        <f t="shared" si="119"/>
        <v>0.33750000000000002</v>
      </c>
      <c r="N332" s="60">
        <f t="shared" si="120"/>
        <v>0.27749999999999997</v>
      </c>
      <c r="O332" s="60">
        <f t="shared" si="121"/>
        <v>0.28500000000000003</v>
      </c>
      <c r="P332" s="60">
        <f t="shared" si="122"/>
        <v>0.51</v>
      </c>
      <c r="Q332" s="60">
        <f t="shared" si="123"/>
        <v>0</v>
      </c>
      <c r="S332" s="12"/>
      <c r="T332" s="13">
        <f t="shared" si="124"/>
        <v>2031</v>
      </c>
      <c r="U332" s="60">
        <f t="shared" si="125"/>
        <v>0.43049999999999999</v>
      </c>
      <c r="V332" s="60">
        <f t="shared" si="126"/>
        <v>0.47250000000000003</v>
      </c>
      <c r="W332" s="60">
        <f t="shared" si="127"/>
        <v>0.38850000000000001</v>
      </c>
      <c r="X332" s="60">
        <f t="shared" si="128"/>
        <v>0.39900000000000002</v>
      </c>
      <c r="Y332" s="60">
        <f t="shared" si="129"/>
        <v>0.71400000000000008</v>
      </c>
      <c r="Z332" s="60">
        <f t="shared" si="130"/>
        <v>0</v>
      </c>
    </row>
    <row r="333" spans="1:26">
      <c r="A333" s="12"/>
      <c r="B333" s="13">
        <f t="shared" si="131"/>
        <v>2032</v>
      </c>
      <c r="C333" s="60">
        <v>0.41</v>
      </c>
      <c r="D333" s="61">
        <v>0.45</v>
      </c>
      <c r="E333" s="61">
        <v>0.37</v>
      </c>
      <c r="F333" s="61">
        <v>0.38</v>
      </c>
      <c r="G333" s="61">
        <v>0.68</v>
      </c>
      <c r="H333" s="61">
        <v>0</v>
      </c>
      <c r="J333" s="12"/>
      <c r="K333" s="13">
        <f t="shared" si="117"/>
        <v>2032</v>
      </c>
      <c r="L333" s="60">
        <f t="shared" si="118"/>
        <v>0.3075</v>
      </c>
      <c r="M333" s="60">
        <f t="shared" si="119"/>
        <v>0.33750000000000002</v>
      </c>
      <c r="N333" s="60">
        <f t="shared" si="120"/>
        <v>0.27749999999999997</v>
      </c>
      <c r="O333" s="60">
        <f t="shared" si="121"/>
        <v>0.28500000000000003</v>
      </c>
      <c r="P333" s="60">
        <f t="shared" si="122"/>
        <v>0.51</v>
      </c>
      <c r="Q333" s="60">
        <f t="shared" si="123"/>
        <v>0</v>
      </c>
      <c r="S333" s="12"/>
      <c r="T333" s="13">
        <f t="shared" si="124"/>
        <v>2032</v>
      </c>
      <c r="U333" s="60">
        <f t="shared" si="125"/>
        <v>0.43049999999999999</v>
      </c>
      <c r="V333" s="60">
        <f t="shared" si="126"/>
        <v>0.47250000000000003</v>
      </c>
      <c r="W333" s="60">
        <f t="shared" si="127"/>
        <v>0.38850000000000001</v>
      </c>
      <c r="X333" s="60">
        <f t="shared" si="128"/>
        <v>0.39900000000000002</v>
      </c>
      <c r="Y333" s="60">
        <f t="shared" si="129"/>
        <v>0.71400000000000008</v>
      </c>
      <c r="Z333" s="60">
        <f t="shared" si="130"/>
        <v>0</v>
      </c>
    </row>
    <row r="334" spans="1:26">
      <c r="A334" s="12"/>
      <c r="B334" s="13">
        <f t="shared" si="131"/>
        <v>2033</v>
      </c>
      <c r="C334" s="60">
        <v>0.41</v>
      </c>
      <c r="D334" s="61">
        <v>0.45</v>
      </c>
      <c r="E334" s="61">
        <v>0.37</v>
      </c>
      <c r="F334" s="61">
        <v>0.38</v>
      </c>
      <c r="G334" s="61">
        <v>0.68</v>
      </c>
      <c r="H334" s="61">
        <v>0</v>
      </c>
      <c r="J334" s="12"/>
      <c r="K334" s="13">
        <f t="shared" si="117"/>
        <v>2033</v>
      </c>
      <c r="L334" s="60">
        <f t="shared" si="118"/>
        <v>0.3075</v>
      </c>
      <c r="M334" s="60">
        <f t="shared" si="119"/>
        <v>0.33750000000000002</v>
      </c>
      <c r="N334" s="60">
        <f t="shared" si="120"/>
        <v>0.27749999999999997</v>
      </c>
      <c r="O334" s="60">
        <f t="shared" si="121"/>
        <v>0.28500000000000003</v>
      </c>
      <c r="P334" s="60">
        <f t="shared" si="122"/>
        <v>0.51</v>
      </c>
      <c r="Q334" s="60">
        <f t="shared" si="123"/>
        <v>0</v>
      </c>
      <c r="S334" s="12"/>
      <c r="T334" s="13">
        <f t="shared" si="124"/>
        <v>2033</v>
      </c>
      <c r="U334" s="60">
        <f t="shared" si="125"/>
        <v>0.43049999999999999</v>
      </c>
      <c r="V334" s="60">
        <f t="shared" si="126"/>
        <v>0.47250000000000003</v>
      </c>
      <c r="W334" s="60">
        <f t="shared" si="127"/>
        <v>0.38850000000000001</v>
      </c>
      <c r="X334" s="60">
        <f t="shared" si="128"/>
        <v>0.39900000000000002</v>
      </c>
      <c r="Y334" s="60">
        <f t="shared" si="129"/>
        <v>0.71400000000000008</v>
      </c>
      <c r="Z334" s="60">
        <f t="shared" si="130"/>
        <v>0</v>
      </c>
    </row>
    <row r="335" spans="1:26">
      <c r="A335" s="12"/>
      <c r="B335" s="13">
        <f t="shared" si="131"/>
        <v>2034</v>
      </c>
      <c r="C335" s="60">
        <v>0.41</v>
      </c>
      <c r="D335" s="61">
        <v>0.45</v>
      </c>
      <c r="E335" s="61">
        <v>0.37</v>
      </c>
      <c r="F335" s="61">
        <v>0.38</v>
      </c>
      <c r="G335" s="61">
        <v>0.68</v>
      </c>
      <c r="H335" s="61">
        <v>0</v>
      </c>
      <c r="J335" s="12"/>
      <c r="K335" s="13">
        <f t="shared" si="117"/>
        <v>2034</v>
      </c>
      <c r="L335" s="60">
        <f t="shared" si="118"/>
        <v>0.3075</v>
      </c>
      <c r="M335" s="60">
        <f t="shared" si="119"/>
        <v>0.33750000000000002</v>
      </c>
      <c r="N335" s="60">
        <f t="shared" si="120"/>
        <v>0.27749999999999997</v>
      </c>
      <c r="O335" s="60">
        <f t="shared" si="121"/>
        <v>0.28500000000000003</v>
      </c>
      <c r="P335" s="60">
        <f t="shared" si="122"/>
        <v>0.51</v>
      </c>
      <c r="Q335" s="60">
        <f t="shared" si="123"/>
        <v>0</v>
      </c>
      <c r="S335" s="12"/>
      <c r="T335" s="13">
        <f t="shared" si="124"/>
        <v>2034</v>
      </c>
      <c r="U335" s="60">
        <f t="shared" si="125"/>
        <v>0.43049999999999999</v>
      </c>
      <c r="V335" s="60">
        <f t="shared" si="126"/>
        <v>0.47250000000000003</v>
      </c>
      <c r="W335" s="60">
        <f t="shared" si="127"/>
        <v>0.38850000000000001</v>
      </c>
      <c r="X335" s="60">
        <f t="shared" si="128"/>
        <v>0.39900000000000002</v>
      </c>
      <c r="Y335" s="60">
        <f t="shared" si="129"/>
        <v>0.71400000000000008</v>
      </c>
      <c r="Z335" s="60">
        <f t="shared" si="130"/>
        <v>0</v>
      </c>
    </row>
    <row r="336" spans="1:26">
      <c r="A336" s="12"/>
      <c r="B336" s="13">
        <f t="shared" si="131"/>
        <v>2035</v>
      </c>
      <c r="C336" s="60">
        <v>0.41</v>
      </c>
      <c r="D336" s="61">
        <v>0.45</v>
      </c>
      <c r="E336" s="61">
        <v>0.37</v>
      </c>
      <c r="F336" s="61">
        <v>0.38</v>
      </c>
      <c r="G336" s="61">
        <v>0.68</v>
      </c>
      <c r="H336" s="61">
        <v>0</v>
      </c>
      <c r="J336" s="12"/>
      <c r="K336" s="13">
        <f t="shared" si="117"/>
        <v>2035</v>
      </c>
      <c r="L336" s="60">
        <f t="shared" si="118"/>
        <v>0.3075</v>
      </c>
      <c r="M336" s="60">
        <f t="shared" si="119"/>
        <v>0.33750000000000002</v>
      </c>
      <c r="N336" s="60">
        <f t="shared" si="120"/>
        <v>0.27749999999999997</v>
      </c>
      <c r="O336" s="60">
        <f t="shared" si="121"/>
        <v>0.28500000000000003</v>
      </c>
      <c r="P336" s="60">
        <f t="shared" si="122"/>
        <v>0.51</v>
      </c>
      <c r="Q336" s="60">
        <f t="shared" si="123"/>
        <v>0</v>
      </c>
      <c r="S336" s="12"/>
      <c r="T336" s="13">
        <f t="shared" si="124"/>
        <v>2035</v>
      </c>
      <c r="U336" s="60">
        <f t="shared" si="125"/>
        <v>0.43049999999999999</v>
      </c>
      <c r="V336" s="60">
        <f t="shared" si="126"/>
        <v>0.47250000000000003</v>
      </c>
      <c r="W336" s="60">
        <f t="shared" si="127"/>
        <v>0.38850000000000001</v>
      </c>
      <c r="X336" s="60">
        <f t="shared" si="128"/>
        <v>0.39900000000000002</v>
      </c>
      <c r="Y336" s="60">
        <f t="shared" si="129"/>
        <v>0.71400000000000008</v>
      </c>
      <c r="Z336" s="60">
        <f t="shared" si="130"/>
        <v>0</v>
      </c>
    </row>
    <row r="337" spans="1:26">
      <c r="A337" s="12"/>
      <c r="B337" s="13">
        <f t="shared" si="131"/>
        <v>2036</v>
      </c>
      <c r="C337" s="60">
        <v>0.41</v>
      </c>
      <c r="D337" s="61">
        <v>0.45</v>
      </c>
      <c r="E337" s="61">
        <v>0.37</v>
      </c>
      <c r="F337" s="61">
        <v>0.38</v>
      </c>
      <c r="G337" s="61">
        <v>0.68</v>
      </c>
      <c r="H337" s="61">
        <v>0</v>
      </c>
      <c r="J337" s="12"/>
      <c r="K337" s="13">
        <f t="shared" si="117"/>
        <v>2036</v>
      </c>
      <c r="L337" s="60">
        <f t="shared" si="118"/>
        <v>0.3075</v>
      </c>
      <c r="M337" s="60">
        <f t="shared" si="119"/>
        <v>0.33750000000000002</v>
      </c>
      <c r="N337" s="60">
        <f t="shared" si="120"/>
        <v>0.27749999999999997</v>
      </c>
      <c r="O337" s="60">
        <f t="shared" si="121"/>
        <v>0.28500000000000003</v>
      </c>
      <c r="P337" s="60">
        <f t="shared" si="122"/>
        <v>0.51</v>
      </c>
      <c r="Q337" s="60">
        <f t="shared" si="123"/>
        <v>0</v>
      </c>
      <c r="S337" s="12"/>
      <c r="T337" s="13">
        <f t="shared" si="124"/>
        <v>2036</v>
      </c>
      <c r="U337" s="60">
        <f t="shared" si="125"/>
        <v>0.43049999999999999</v>
      </c>
      <c r="V337" s="60">
        <f t="shared" si="126"/>
        <v>0.47250000000000003</v>
      </c>
      <c r="W337" s="60">
        <f t="shared" si="127"/>
        <v>0.38850000000000001</v>
      </c>
      <c r="X337" s="60">
        <f t="shared" si="128"/>
        <v>0.39900000000000002</v>
      </c>
      <c r="Y337" s="60">
        <f t="shared" si="129"/>
        <v>0.71400000000000008</v>
      </c>
      <c r="Z337" s="60">
        <f t="shared" si="130"/>
        <v>0</v>
      </c>
    </row>
    <row r="338" spans="1:26">
      <c r="A338" s="12"/>
      <c r="B338" s="13">
        <f t="shared" si="131"/>
        <v>2037</v>
      </c>
      <c r="C338" s="60">
        <v>0.41</v>
      </c>
      <c r="D338" s="61">
        <v>0.45</v>
      </c>
      <c r="E338" s="61">
        <v>0.37</v>
      </c>
      <c r="F338" s="61">
        <v>0.38</v>
      </c>
      <c r="G338" s="61">
        <v>0.68</v>
      </c>
      <c r="H338" s="61">
        <v>0</v>
      </c>
      <c r="J338" s="12"/>
      <c r="K338" s="13">
        <f t="shared" si="117"/>
        <v>2037</v>
      </c>
      <c r="L338" s="60">
        <f t="shared" si="118"/>
        <v>0.3075</v>
      </c>
      <c r="M338" s="60">
        <f t="shared" si="119"/>
        <v>0.33750000000000002</v>
      </c>
      <c r="N338" s="60">
        <f t="shared" si="120"/>
        <v>0.27749999999999997</v>
      </c>
      <c r="O338" s="60">
        <f t="shared" si="121"/>
        <v>0.28500000000000003</v>
      </c>
      <c r="P338" s="60">
        <f t="shared" si="122"/>
        <v>0.51</v>
      </c>
      <c r="Q338" s="60">
        <f t="shared" si="123"/>
        <v>0</v>
      </c>
      <c r="S338" s="12"/>
      <c r="T338" s="13">
        <f t="shared" si="124"/>
        <v>2037</v>
      </c>
      <c r="U338" s="60">
        <f t="shared" si="125"/>
        <v>0.43049999999999999</v>
      </c>
      <c r="V338" s="60">
        <f t="shared" si="126"/>
        <v>0.47250000000000003</v>
      </c>
      <c r="W338" s="60">
        <f t="shared" si="127"/>
        <v>0.38850000000000001</v>
      </c>
      <c r="X338" s="60">
        <f t="shared" si="128"/>
        <v>0.39900000000000002</v>
      </c>
      <c r="Y338" s="60">
        <f t="shared" si="129"/>
        <v>0.71400000000000008</v>
      </c>
      <c r="Z338" s="60">
        <f t="shared" si="130"/>
        <v>0</v>
      </c>
    </row>
    <row r="339" spans="1:26">
      <c r="A339" s="12"/>
      <c r="B339" s="13">
        <f t="shared" si="131"/>
        <v>2038</v>
      </c>
      <c r="C339" s="60">
        <v>0.41</v>
      </c>
      <c r="D339" s="61">
        <v>0.45</v>
      </c>
      <c r="E339" s="61">
        <v>0.37</v>
      </c>
      <c r="F339" s="61">
        <v>0.38</v>
      </c>
      <c r="G339" s="61">
        <v>0.68</v>
      </c>
      <c r="H339" s="61">
        <v>0</v>
      </c>
      <c r="J339" s="12"/>
      <c r="K339" s="13">
        <f t="shared" si="117"/>
        <v>2038</v>
      </c>
      <c r="L339" s="60">
        <f t="shared" si="118"/>
        <v>0.3075</v>
      </c>
      <c r="M339" s="60">
        <f t="shared" si="119"/>
        <v>0.33750000000000002</v>
      </c>
      <c r="N339" s="60">
        <f t="shared" si="120"/>
        <v>0.27749999999999997</v>
      </c>
      <c r="O339" s="60">
        <f t="shared" si="121"/>
        <v>0.28500000000000003</v>
      </c>
      <c r="P339" s="60">
        <f t="shared" si="122"/>
        <v>0.51</v>
      </c>
      <c r="Q339" s="60">
        <f t="shared" si="123"/>
        <v>0</v>
      </c>
      <c r="S339" s="12"/>
      <c r="T339" s="13">
        <f t="shared" si="124"/>
        <v>2038</v>
      </c>
      <c r="U339" s="60">
        <f t="shared" si="125"/>
        <v>0.43049999999999999</v>
      </c>
      <c r="V339" s="60">
        <f t="shared" si="126"/>
        <v>0.47250000000000003</v>
      </c>
      <c r="W339" s="60">
        <f t="shared" si="127"/>
        <v>0.38850000000000001</v>
      </c>
      <c r="X339" s="60">
        <f t="shared" si="128"/>
        <v>0.39900000000000002</v>
      </c>
      <c r="Y339" s="60">
        <f t="shared" si="129"/>
        <v>0.71400000000000008</v>
      </c>
      <c r="Z339" s="60">
        <f t="shared" si="130"/>
        <v>0</v>
      </c>
    </row>
    <row r="340" spans="1:26">
      <c r="A340" s="12"/>
      <c r="B340" s="13">
        <f t="shared" si="131"/>
        <v>2039</v>
      </c>
      <c r="C340" s="60">
        <v>0.41</v>
      </c>
      <c r="D340" s="61">
        <v>0.45</v>
      </c>
      <c r="E340" s="61">
        <v>0.37</v>
      </c>
      <c r="F340" s="61">
        <v>0.38</v>
      </c>
      <c r="G340" s="61">
        <v>0.68</v>
      </c>
      <c r="H340" s="61">
        <v>0</v>
      </c>
      <c r="J340" s="12"/>
      <c r="K340" s="13">
        <f t="shared" si="117"/>
        <v>2039</v>
      </c>
      <c r="L340" s="60">
        <f t="shared" si="118"/>
        <v>0.3075</v>
      </c>
      <c r="M340" s="60">
        <f t="shared" si="119"/>
        <v>0.33750000000000002</v>
      </c>
      <c r="N340" s="60">
        <f t="shared" si="120"/>
        <v>0.27749999999999997</v>
      </c>
      <c r="O340" s="60">
        <f t="shared" si="121"/>
        <v>0.28500000000000003</v>
      </c>
      <c r="P340" s="60">
        <f t="shared" si="122"/>
        <v>0.51</v>
      </c>
      <c r="Q340" s="60">
        <f t="shared" si="123"/>
        <v>0</v>
      </c>
      <c r="S340" s="12"/>
      <c r="T340" s="13">
        <f t="shared" si="124"/>
        <v>2039</v>
      </c>
      <c r="U340" s="60">
        <f t="shared" si="125"/>
        <v>0.43049999999999999</v>
      </c>
      <c r="V340" s="60">
        <f t="shared" si="126"/>
        <v>0.47250000000000003</v>
      </c>
      <c r="W340" s="60">
        <f t="shared" si="127"/>
        <v>0.38850000000000001</v>
      </c>
      <c r="X340" s="60">
        <f t="shared" si="128"/>
        <v>0.39900000000000002</v>
      </c>
      <c r="Y340" s="60">
        <f t="shared" si="129"/>
        <v>0.71400000000000008</v>
      </c>
      <c r="Z340" s="60">
        <f t="shared" si="130"/>
        <v>0</v>
      </c>
    </row>
    <row r="341" spans="1:26">
      <c r="A341" s="12"/>
      <c r="B341" s="13">
        <f t="shared" si="131"/>
        <v>2040</v>
      </c>
      <c r="C341" s="60">
        <v>0.39</v>
      </c>
      <c r="D341" s="61">
        <v>0.43</v>
      </c>
      <c r="E341" s="61">
        <v>0.35</v>
      </c>
      <c r="F341" s="61">
        <v>0.37</v>
      </c>
      <c r="G341" s="61">
        <v>0.66</v>
      </c>
      <c r="H341" s="61">
        <v>0</v>
      </c>
      <c r="J341" s="12"/>
      <c r="K341" s="13">
        <f t="shared" si="117"/>
        <v>2040</v>
      </c>
      <c r="L341" s="60">
        <f t="shared" si="118"/>
        <v>0.29249999999999998</v>
      </c>
      <c r="M341" s="60">
        <f t="shared" si="119"/>
        <v>0.32250000000000001</v>
      </c>
      <c r="N341" s="60">
        <f t="shared" si="120"/>
        <v>0.26249999999999996</v>
      </c>
      <c r="O341" s="60">
        <f t="shared" si="121"/>
        <v>0.27749999999999997</v>
      </c>
      <c r="P341" s="60">
        <f t="shared" si="122"/>
        <v>0.495</v>
      </c>
      <c r="Q341" s="60">
        <f t="shared" si="123"/>
        <v>0</v>
      </c>
      <c r="S341" s="12"/>
      <c r="T341" s="13">
        <f t="shared" si="124"/>
        <v>2040</v>
      </c>
      <c r="U341" s="60">
        <f t="shared" si="125"/>
        <v>0.40950000000000003</v>
      </c>
      <c r="V341" s="60">
        <f t="shared" si="126"/>
        <v>0.45150000000000001</v>
      </c>
      <c r="W341" s="60">
        <f t="shared" si="127"/>
        <v>0.36749999999999999</v>
      </c>
      <c r="X341" s="60">
        <f t="shared" si="128"/>
        <v>0.38850000000000001</v>
      </c>
      <c r="Y341" s="60">
        <f t="shared" si="129"/>
        <v>0.69300000000000006</v>
      </c>
      <c r="Z341" s="60">
        <f t="shared" si="130"/>
        <v>0</v>
      </c>
    </row>
    <row r="342" spans="1:26">
      <c r="A342" s="12"/>
      <c r="B342" s="13">
        <f t="shared" si="131"/>
        <v>2041</v>
      </c>
      <c r="C342" s="60">
        <v>0.39</v>
      </c>
      <c r="D342" s="61">
        <v>0.43</v>
      </c>
      <c r="E342" s="61">
        <v>0.35</v>
      </c>
      <c r="F342" s="61">
        <v>0.37</v>
      </c>
      <c r="G342" s="61">
        <v>0.66</v>
      </c>
      <c r="H342" s="61">
        <v>0</v>
      </c>
      <c r="J342" s="12"/>
      <c r="K342" s="13">
        <f t="shared" si="117"/>
        <v>2041</v>
      </c>
      <c r="L342" s="60">
        <f t="shared" si="118"/>
        <v>0.29249999999999998</v>
      </c>
      <c r="M342" s="60">
        <f t="shared" si="119"/>
        <v>0.32250000000000001</v>
      </c>
      <c r="N342" s="60">
        <f t="shared" si="120"/>
        <v>0.26249999999999996</v>
      </c>
      <c r="O342" s="60">
        <f t="shared" si="121"/>
        <v>0.27749999999999997</v>
      </c>
      <c r="P342" s="60">
        <f t="shared" si="122"/>
        <v>0.495</v>
      </c>
      <c r="Q342" s="60">
        <f t="shared" si="123"/>
        <v>0</v>
      </c>
      <c r="S342" s="12"/>
      <c r="T342" s="13">
        <f t="shared" si="124"/>
        <v>2041</v>
      </c>
      <c r="U342" s="60">
        <f t="shared" si="125"/>
        <v>0.40950000000000003</v>
      </c>
      <c r="V342" s="60">
        <f t="shared" si="126"/>
        <v>0.45150000000000001</v>
      </c>
      <c r="W342" s="60">
        <f t="shared" si="127"/>
        <v>0.36749999999999999</v>
      </c>
      <c r="X342" s="60">
        <f t="shared" si="128"/>
        <v>0.38850000000000001</v>
      </c>
      <c r="Y342" s="60">
        <f t="shared" si="129"/>
        <v>0.69300000000000006</v>
      </c>
      <c r="Z342" s="60">
        <f t="shared" si="130"/>
        <v>0</v>
      </c>
    </row>
    <row r="343" spans="1:26">
      <c r="A343" s="12"/>
      <c r="B343" s="13">
        <f t="shared" si="131"/>
        <v>2042</v>
      </c>
      <c r="C343" s="60">
        <v>0.39</v>
      </c>
      <c r="D343" s="61">
        <v>0.43</v>
      </c>
      <c r="E343" s="61">
        <v>0.35</v>
      </c>
      <c r="F343" s="61">
        <v>0.37</v>
      </c>
      <c r="G343" s="61">
        <v>0.66</v>
      </c>
      <c r="H343" s="61">
        <v>0</v>
      </c>
      <c r="J343" s="12"/>
      <c r="K343" s="13">
        <f t="shared" si="117"/>
        <v>2042</v>
      </c>
      <c r="L343" s="60">
        <f t="shared" si="118"/>
        <v>0.29249999999999998</v>
      </c>
      <c r="M343" s="60">
        <f t="shared" si="119"/>
        <v>0.32250000000000001</v>
      </c>
      <c r="N343" s="60">
        <f t="shared" si="120"/>
        <v>0.26249999999999996</v>
      </c>
      <c r="O343" s="60">
        <f t="shared" si="121"/>
        <v>0.27749999999999997</v>
      </c>
      <c r="P343" s="60">
        <f t="shared" si="122"/>
        <v>0.495</v>
      </c>
      <c r="Q343" s="60">
        <f t="shared" si="123"/>
        <v>0</v>
      </c>
      <c r="S343" s="12"/>
      <c r="T343" s="13">
        <f t="shared" si="124"/>
        <v>2042</v>
      </c>
      <c r="U343" s="60">
        <f t="shared" si="125"/>
        <v>0.40950000000000003</v>
      </c>
      <c r="V343" s="60">
        <f t="shared" si="126"/>
        <v>0.45150000000000001</v>
      </c>
      <c r="W343" s="60">
        <f t="shared" si="127"/>
        <v>0.36749999999999999</v>
      </c>
      <c r="X343" s="60">
        <f t="shared" si="128"/>
        <v>0.38850000000000001</v>
      </c>
      <c r="Y343" s="60">
        <f t="shared" si="129"/>
        <v>0.69300000000000006</v>
      </c>
      <c r="Z343" s="60">
        <f t="shared" si="130"/>
        <v>0</v>
      </c>
    </row>
    <row r="344" spans="1:26">
      <c r="A344" s="12"/>
      <c r="B344" s="13">
        <f t="shared" si="131"/>
        <v>2043</v>
      </c>
      <c r="C344" s="60">
        <v>0.39</v>
      </c>
      <c r="D344" s="61">
        <v>0.43</v>
      </c>
      <c r="E344" s="61">
        <v>0.35</v>
      </c>
      <c r="F344" s="61">
        <v>0.37</v>
      </c>
      <c r="G344" s="61">
        <v>0.66</v>
      </c>
      <c r="H344" s="61">
        <v>0</v>
      </c>
      <c r="J344" s="12"/>
      <c r="K344" s="13">
        <f t="shared" si="117"/>
        <v>2043</v>
      </c>
      <c r="L344" s="60">
        <f t="shared" si="118"/>
        <v>0.29249999999999998</v>
      </c>
      <c r="M344" s="60">
        <f t="shared" si="119"/>
        <v>0.32250000000000001</v>
      </c>
      <c r="N344" s="60">
        <f t="shared" si="120"/>
        <v>0.26249999999999996</v>
      </c>
      <c r="O344" s="60">
        <f t="shared" si="121"/>
        <v>0.27749999999999997</v>
      </c>
      <c r="P344" s="60">
        <f t="shared" si="122"/>
        <v>0.495</v>
      </c>
      <c r="Q344" s="60">
        <f t="shared" si="123"/>
        <v>0</v>
      </c>
      <c r="S344" s="12"/>
      <c r="T344" s="13">
        <f t="shared" si="124"/>
        <v>2043</v>
      </c>
      <c r="U344" s="60">
        <f t="shared" si="125"/>
        <v>0.40950000000000003</v>
      </c>
      <c r="V344" s="60">
        <f t="shared" si="126"/>
        <v>0.45150000000000001</v>
      </c>
      <c r="W344" s="60">
        <f t="shared" si="127"/>
        <v>0.36749999999999999</v>
      </c>
      <c r="X344" s="60">
        <f t="shared" si="128"/>
        <v>0.38850000000000001</v>
      </c>
      <c r="Y344" s="60">
        <f t="shared" si="129"/>
        <v>0.69300000000000006</v>
      </c>
      <c r="Z344" s="60">
        <f t="shared" si="130"/>
        <v>0</v>
      </c>
    </row>
    <row r="345" spans="1:26">
      <c r="A345" s="43"/>
      <c r="B345" s="13">
        <f t="shared" si="131"/>
        <v>2044</v>
      </c>
      <c r="C345" s="60">
        <v>0.39</v>
      </c>
      <c r="D345" s="61">
        <v>0.43</v>
      </c>
      <c r="E345" s="61">
        <v>0.35</v>
      </c>
      <c r="F345" s="61">
        <v>0.37</v>
      </c>
      <c r="G345" s="61">
        <v>0.66</v>
      </c>
      <c r="H345" s="61">
        <v>0</v>
      </c>
      <c r="J345" s="43"/>
      <c r="K345" s="13">
        <f t="shared" si="117"/>
        <v>2044</v>
      </c>
      <c r="L345" s="60">
        <f t="shared" si="118"/>
        <v>0.29249999999999998</v>
      </c>
      <c r="M345" s="60">
        <f t="shared" si="119"/>
        <v>0.32250000000000001</v>
      </c>
      <c r="N345" s="60">
        <f t="shared" si="120"/>
        <v>0.26249999999999996</v>
      </c>
      <c r="O345" s="60">
        <f t="shared" si="121"/>
        <v>0.27749999999999997</v>
      </c>
      <c r="P345" s="60">
        <f t="shared" si="122"/>
        <v>0.495</v>
      </c>
      <c r="Q345" s="60">
        <f t="shared" si="123"/>
        <v>0</v>
      </c>
      <c r="S345" s="43"/>
      <c r="T345" s="13">
        <f t="shared" si="124"/>
        <v>2044</v>
      </c>
      <c r="U345" s="60">
        <f t="shared" si="125"/>
        <v>0.40950000000000003</v>
      </c>
      <c r="V345" s="60">
        <f t="shared" si="126"/>
        <v>0.45150000000000001</v>
      </c>
      <c r="W345" s="60">
        <f t="shared" si="127"/>
        <v>0.36749999999999999</v>
      </c>
      <c r="X345" s="60">
        <f t="shared" si="128"/>
        <v>0.38850000000000001</v>
      </c>
      <c r="Y345" s="60">
        <f t="shared" si="129"/>
        <v>0.69300000000000006</v>
      </c>
      <c r="Z345" s="60">
        <f t="shared" si="130"/>
        <v>0</v>
      </c>
    </row>
    <row r="347" spans="1:26">
      <c r="A347" s="4" t="s">
        <v>98</v>
      </c>
      <c r="J347" s="4" t="s">
        <v>99</v>
      </c>
    </row>
    <row r="348" spans="1:26">
      <c r="A348" s="134" t="s">
        <v>5</v>
      </c>
      <c r="B348" s="134"/>
      <c r="C348" s="6">
        <v>1</v>
      </c>
      <c r="D348" s="6">
        <v>2</v>
      </c>
      <c r="E348" s="6">
        <v>3</v>
      </c>
      <c r="F348" s="6">
        <v>4</v>
      </c>
      <c r="G348" s="6">
        <v>5</v>
      </c>
      <c r="H348" s="6">
        <v>6</v>
      </c>
      <c r="J348" s="143" t="s">
        <v>5</v>
      </c>
      <c r="K348" s="144"/>
      <c r="L348" s="6">
        <v>1</v>
      </c>
      <c r="M348" s="6">
        <v>2</v>
      </c>
      <c r="N348" s="6">
        <v>3</v>
      </c>
      <c r="O348" s="6">
        <v>4</v>
      </c>
      <c r="P348" s="6">
        <v>5</v>
      </c>
      <c r="Q348" s="6">
        <v>6</v>
      </c>
    </row>
    <row r="349" spans="1:26" ht="31.5">
      <c r="A349" s="134" t="s">
        <v>6</v>
      </c>
      <c r="B349" s="134"/>
      <c r="C349" s="35" t="s">
        <v>106</v>
      </c>
      <c r="D349" s="35" t="s">
        <v>107</v>
      </c>
      <c r="E349" s="35" t="s">
        <v>108</v>
      </c>
      <c r="F349" s="35" t="s">
        <v>109</v>
      </c>
      <c r="G349" s="35" t="s">
        <v>110</v>
      </c>
      <c r="H349" s="35" t="s">
        <v>110</v>
      </c>
      <c r="J349" s="134" t="s">
        <v>6</v>
      </c>
      <c r="K349" s="134"/>
      <c r="L349" s="35" t="s">
        <v>106</v>
      </c>
      <c r="M349" s="35" t="s">
        <v>107</v>
      </c>
      <c r="N349" s="35" t="s">
        <v>108</v>
      </c>
      <c r="O349" s="35" t="s">
        <v>109</v>
      </c>
      <c r="P349" s="35" t="s">
        <v>110</v>
      </c>
      <c r="Q349" s="35" t="s">
        <v>324</v>
      </c>
    </row>
    <row r="350" spans="1:26">
      <c r="A350" s="8"/>
      <c r="B350" s="9" t="s">
        <v>22</v>
      </c>
      <c r="C350" s="36" t="s">
        <v>100</v>
      </c>
      <c r="D350" s="36" t="s">
        <v>100</v>
      </c>
      <c r="E350" s="36" t="s">
        <v>100</v>
      </c>
      <c r="F350" s="36" t="s">
        <v>100</v>
      </c>
      <c r="G350" s="36" t="s">
        <v>100</v>
      </c>
      <c r="H350" s="36" t="s">
        <v>100</v>
      </c>
      <c r="J350" s="8"/>
      <c r="K350" s="9" t="s">
        <v>22</v>
      </c>
      <c r="L350" s="36" t="s">
        <v>100</v>
      </c>
      <c r="M350" s="36" t="s">
        <v>100</v>
      </c>
      <c r="N350" s="36" t="s">
        <v>100</v>
      </c>
      <c r="O350" s="36" t="s">
        <v>100</v>
      </c>
      <c r="P350" s="36" t="s">
        <v>100</v>
      </c>
      <c r="Q350" s="36" t="s">
        <v>100</v>
      </c>
    </row>
    <row r="351" spans="1:26">
      <c r="A351" s="12"/>
      <c r="B351" s="13">
        <f>B316</f>
        <v>2015</v>
      </c>
      <c r="C351" s="60">
        <f t="shared" ref="C351:H351" si="132">L351*1.3</f>
        <v>42.12</v>
      </c>
      <c r="D351" s="60">
        <f t="shared" si="132"/>
        <v>35.880000000000003</v>
      </c>
      <c r="E351" s="60">
        <f t="shared" si="132"/>
        <v>34.32</v>
      </c>
      <c r="F351" s="60">
        <f t="shared" si="132"/>
        <v>31.980000000000004</v>
      </c>
      <c r="G351" s="60">
        <f t="shared" si="132"/>
        <v>44.07</v>
      </c>
      <c r="H351" s="60">
        <f t="shared" si="132"/>
        <v>0</v>
      </c>
      <c r="J351" s="12"/>
      <c r="K351" s="13">
        <f t="shared" ref="K351:K380" si="133">B351</f>
        <v>2015</v>
      </c>
      <c r="L351" s="60">
        <v>32.4</v>
      </c>
      <c r="M351" s="61">
        <v>27.6</v>
      </c>
      <c r="N351" s="61">
        <v>26.4</v>
      </c>
      <c r="O351" s="61">
        <v>24.6</v>
      </c>
      <c r="P351" s="61">
        <v>33.9</v>
      </c>
      <c r="Q351" s="61">
        <v>0</v>
      </c>
    </row>
    <row r="352" spans="1:26">
      <c r="A352" s="12"/>
      <c r="B352" s="13">
        <f t="shared" ref="B352:B380" si="134">B317</f>
        <v>2016</v>
      </c>
      <c r="C352" s="60">
        <f t="shared" ref="C352:C380" si="135">L352*1.3</f>
        <v>42.12</v>
      </c>
      <c r="D352" s="60">
        <f t="shared" ref="D352:D380" si="136">M352*1.3</f>
        <v>35.880000000000003</v>
      </c>
      <c r="E352" s="60">
        <f t="shared" ref="E352:E380" si="137">N352*1.3</f>
        <v>34.32</v>
      </c>
      <c r="F352" s="60">
        <f t="shared" ref="F352:F380" si="138">O352*1.3</f>
        <v>31.980000000000004</v>
      </c>
      <c r="G352" s="60">
        <f t="shared" ref="G352:G380" si="139">P352*1.3</f>
        <v>44.07</v>
      </c>
      <c r="H352" s="60">
        <f t="shared" ref="H352:H380" si="140">Q352*1.3</f>
        <v>0</v>
      </c>
      <c r="J352" s="12"/>
      <c r="K352" s="13">
        <f t="shared" si="133"/>
        <v>2016</v>
      </c>
      <c r="L352" s="60">
        <v>32.4</v>
      </c>
      <c r="M352" s="61">
        <v>27.6</v>
      </c>
      <c r="N352" s="61">
        <v>26.4</v>
      </c>
      <c r="O352" s="61">
        <v>24.6</v>
      </c>
      <c r="P352" s="61">
        <v>33.9</v>
      </c>
      <c r="Q352" s="61">
        <v>0</v>
      </c>
    </row>
    <row r="353" spans="1:17">
      <c r="A353" s="12"/>
      <c r="B353" s="13">
        <f t="shared" si="134"/>
        <v>2017</v>
      </c>
      <c r="C353" s="60">
        <f t="shared" si="135"/>
        <v>42.12</v>
      </c>
      <c r="D353" s="60">
        <f t="shared" si="136"/>
        <v>35.880000000000003</v>
      </c>
      <c r="E353" s="60">
        <f t="shared" si="137"/>
        <v>34.32</v>
      </c>
      <c r="F353" s="60">
        <f t="shared" si="138"/>
        <v>31.980000000000004</v>
      </c>
      <c r="G353" s="60">
        <f t="shared" si="139"/>
        <v>44.07</v>
      </c>
      <c r="H353" s="60">
        <f t="shared" si="140"/>
        <v>0</v>
      </c>
      <c r="J353" s="12"/>
      <c r="K353" s="13">
        <f t="shared" si="133"/>
        <v>2017</v>
      </c>
      <c r="L353" s="60">
        <v>32.4</v>
      </c>
      <c r="M353" s="61">
        <v>27.6</v>
      </c>
      <c r="N353" s="61">
        <v>26.4</v>
      </c>
      <c r="O353" s="61">
        <v>24.6</v>
      </c>
      <c r="P353" s="61">
        <v>33.9</v>
      </c>
      <c r="Q353" s="61">
        <v>0</v>
      </c>
    </row>
    <row r="354" spans="1:17">
      <c r="A354" s="12"/>
      <c r="B354" s="13">
        <f t="shared" si="134"/>
        <v>2018</v>
      </c>
      <c r="C354" s="60">
        <f t="shared" si="135"/>
        <v>42.12</v>
      </c>
      <c r="D354" s="60">
        <f t="shared" si="136"/>
        <v>35.880000000000003</v>
      </c>
      <c r="E354" s="60">
        <f t="shared" si="137"/>
        <v>34.32</v>
      </c>
      <c r="F354" s="60">
        <f t="shared" si="138"/>
        <v>31.980000000000004</v>
      </c>
      <c r="G354" s="60">
        <f t="shared" si="139"/>
        <v>44.07</v>
      </c>
      <c r="H354" s="60">
        <f t="shared" si="140"/>
        <v>0</v>
      </c>
      <c r="J354" s="12"/>
      <c r="K354" s="13">
        <f t="shared" si="133"/>
        <v>2018</v>
      </c>
      <c r="L354" s="60">
        <v>32.4</v>
      </c>
      <c r="M354" s="61">
        <v>27.6</v>
      </c>
      <c r="N354" s="61">
        <v>26.4</v>
      </c>
      <c r="O354" s="61">
        <v>24.6</v>
      </c>
      <c r="P354" s="61">
        <v>33.9</v>
      </c>
      <c r="Q354" s="61">
        <v>0</v>
      </c>
    </row>
    <row r="355" spans="1:17">
      <c r="A355" s="12"/>
      <c r="B355" s="13">
        <f t="shared" si="134"/>
        <v>2019</v>
      </c>
      <c r="C355" s="60">
        <f t="shared" si="135"/>
        <v>42.12</v>
      </c>
      <c r="D355" s="60">
        <f t="shared" si="136"/>
        <v>35.880000000000003</v>
      </c>
      <c r="E355" s="60">
        <f t="shared" si="137"/>
        <v>34.32</v>
      </c>
      <c r="F355" s="60">
        <f t="shared" si="138"/>
        <v>31.980000000000004</v>
      </c>
      <c r="G355" s="60">
        <f t="shared" si="139"/>
        <v>44.07</v>
      </c>
      <c r="H355" s="60">
        <f t="shared" si="140"/>
        <v>0</v>
      </c>
      <c r="J355" s="12"/>
      <c r="K355" s="13">
        <f t="shared" si="133"/>
        <v>2019</v>
      </c>
      <c r="L355" s="60">
        <v>32.4</v>
      </c>
      <c r="M355" s="61">
        <v>27.6</v>
      </c>
      <c r="N355" s="61">
        <v>26.4</v>
      </c>
      <c r="O355" s="61">
        <v>24.6</v>
      </c>
      <c r="P355" s="61">
        <v>33.9</v>
      </c>
      <c r="Q355" s="61">
        <v>0</v>
      </c>
    </row>
    <row r="356" spans="1:17">
      <c r="A356" s="12"/>
      <c r="B356" s="13">
        <f t="shared" si="134"/>
        <v>2020</v>
      </c>
      <c r="C356" s="60">
        <f t="shared" si="135"/>
        <v>42.12</v>
      </c>
      <c r="D356" s="60">
        <f t="shared" si="136"/>
        <v>35.880000000000003</v>
      </c>
      <c r="E356" s="60">
        <f t="shared" si="137"/>
        <v>34.32</v>
      </c>
      <c r="F356" s="60">
        <f t="shared" si="138"/>
        <v>31.980000000000004</v>
      </c>
      <c r="G356" s="60">
        <f t="shared" si="139"/>
        <v>44.07</v>
      </c>
      <c r="H356" s="60">
        <f t="shared" si="140"/>
        <v>0</v>
      </c>
      <c r="J356" s="12"/>
      <c r="K356" s="13">
        <f t="shared" si="133"/>
        <v>2020</v>
      </c>
      <c r="L356" s="60">
        <v>32.4</v>
      </c>
      <c r="M356" s="61">
        <v>27.6</v>
      </c>
      <c r="N356" s="61">
        <v>26.4</v>
      </c>
      <c r="O356" s="61">
        <v>24.6</v>
      </c>
      <c r="P356" s="61">
        <v>33.9</v>
      </c>
      <c r="Q356" s="61">
        <v>0</v>
      </c>
    </row>
    <row r="357" spans="1:17">
      <c r="A357" s="12"/>
      <c r="B357" s="13">
        <f t="shared" si="134"/>
        <v>2021</v>
      </c>
      <c r="C357" s="60">
        <f t="shared" si="135"/>
        <v>42.12</v>
      </c>
      <c r="D357" s="60">
        <f t="shared" si="136"/>
        <v>35.880000000000003</v>
      </c>
      <c r="E357" s="60">
        <f t="shared" si="137"/>
        <v>34.32</v>
      </c>
      <c r="F357" s="60">
        <f t="shared" si="138"/>
        <v>31.980000000000004</v>
      </c>
      <c r="G357" s="60">
        <f t="shared" si="139"/>
        <v>44.07</v>
      </c>
      <c r="H357" s="60">
        <f t="shared" si="140"/>
        <v>0</v>
      </c>
      <c r="J357" s="12"/>
      <c r="K357" s="13">
        <f t="shared" si="133"/>
        <v>2021</v>
      </c>
      <c r="L357" s="60">
        <v>32.4</v>
      </c>
      <c r="M357" s="61">
        <v>27.6</v>
      </c>
      <c r="N357" s="61">
        <v>26.4</v>
      </c>
      <c r="O357" s="61">
        <v>24.6</v>
      </c>
      <c r="P357" s="61">
        <v>33.9</v>
      </c>
      <c r="Q357" s="61">
        <v>0</v>
      </c>
    </row>
    <row r="358" spans="1:17">
      <c r="A358" s="12"/>
      <c r="B358" s="13">
        <f t="shared" si="134"/>
        <v>2022</v>
      </c>
      <c r="C358" s="60">
        <f t="shared" si="135"/>
        <v>42.12</v>
      </c>
      <c r="D358" s="60">
        <f t="shared" si="136"/>
        <v>35.880000000000003</v>
      </c>
      <c r="E358" s="60">
        <f t="shared" si="137"/>
        <v>34.32</v>
      </c>
      <c r="F358" s="60">
        <f t="shared" si="138"/>
        <v>31.980000000000004</v>
      </c>
      <c r="G358" s="60">
        <f t="shared" si="139"/>
        <v>44.07</v>
      </c>
      <c r="H358" s="60">
        <f t="shared" si="140"/>
        <v>0</v>
      </c>
      <c r="J358" s="12"/>
      <c r="K358" s="13">
        <f t="shared" si="133"/>
        <v>2022</v>
      </c>
      <c r="L358" s="60">
        <v>32.4</v>
      </c>
      <c r="M358" s="61">
        <v>27.6</v>
      </c>
      <c r="N358" s="61">
        <v>26.4</v>
      </c>
      <c r="O358" s="61">
        <v>24.6</v>
      </c>
      <c r="P358" s="61">
        <v>33.9</v>
      </c>
      <c r="Q358" s="61">
        <v>0</v>
      </c>
    </row>
    <row r="359" spans="1:17">
      <c r="A359" s="12"/>
      <c r="B359" s="13">
        <f t="shared" si="134"/>
        <v>2023</v>
      </c>
      <c r="C359" s="60">
        <f t="shared" si="135"/>
        <v>42.12</v>
      </c>
      <c r="D359" s="60">
        <f t="shared" si="136"/>
        <v>35.880000000000003</v>
      </c>
      <c r="E359" s="60">
        <f t="shared" si="137"/>
        <v>34.32</v>
      </c>
      <c r="F359" s="60">
        <f t="shared" si="138"/>
        <v>31.980000000000004</v>
      </c>
      <c r="G359" s="60">
        <f t="shared" si="139"/>
        <v>44.07</v>
      </c>
      <c r="H359" s="60">
        <f t="shared" si="140"/>
        <v>0</v>
      </c>
      <c r="J359" s="12"/>
      <c r="K359" s="13">
        <f t="shared" si="133"/>
        <v>2023</v>
      </c>
      <c r="L359" s="60">
        <v>32.4</v>
      </c>
      <c r="M359" s="61">
        <v>27.6</v>
      </c>
      <c r="N359" s="61">
        <v>26.4</v>
      </c>
      <c r="O359" s="61">
        <v>24.6</v>
      </c>
      <c r="P359" s="61">
        <v>33.9</v>
      </c>
      <c r="Q359" s="61">
        <v>0</v>
      </c>
    </row>
    <row r="360" spans="1:17">
      <c r="A360" s="12"/>
      <c r="B360" s="13">
        <f t="shared" si="134"/>
        <v>2024</v>
      </c>
      <c r="C360" s="60">
        <f t="shared" si="135"/>
        <v>42.12</v>
      </c>
      <c r="D360" s="60">
        <f t="shared" si="136"/>
        <v>35.880000000000003</v>
      </c>
      <c r="E360" s="60">
        <f t="shared" si="137"/>
        <v>34.32</v>
      </c>
      <c r="F360" s="60">
        <f t="shared" si="138"/>
        <v>31.980000000000004</v>
      </c>
      <c r="G360" s="60">
        <f t="shared" si="139"/>
        <v>44.07</v>
      </c>
      <c r="H360" s="60">
        <f t="shared" si="140"/>
        <v>0</v>
      </c>
      <c r="J360" s="12"/>
      <c r="K360" s="13">
        <f t="shared" si="133"/>
        <v>2024</v>
      </c>
      <c r="L360" s="60">
        <v>32.4</v>
      </c>
      <c r="M360" s="61">
        <v>27.6</v>
      </c>
      <c r="N360" s="61">
        <v>26.4</v>
      </c>
      <c r="O360" s="61">
        <v>24.6</v>
      </c>
      <c r="P360" s="61">
        <v>33.9</v>
      </c>
      <c r="Q360" s="61">
        <v>0</v>
      </c>
    </row>
    <row r="361" spans="1:17">
      <c r="A361" s="12"/>
      <c r="B361" s="13">
        <f t="shared" si="134"/>
        <v>2025</v>
      </c>
      <c r="C361" s="60">
        <f t="shared" si="135"/>
        <v>42.12</v>
      </c>
      <c r="D361" s="60">
        <f t="shared" si="136"/>
        <v>35.880000000000003</v>
      </c>
      <c r="E361" s="60">
        <f t="shared" si="137"/>
        <v>34.32</v>
      </c>
      <c r="F361" s="60">
        <f t="shared" si="138"/>
        <v>31.980000000000004</v>
      </c>
      <c r="G361" s="60">
        <f t="shared" si="139"/>
        <v>44.07</v>
      </c>
      <c r="H361" s="60">
        <f t="shared" si="140"/>
        <v>0</v>
      </c>
      <c r="J361" s="12"/>
      <c r="K361" s="13">
        <f t="shared" si="133"/>
        <v>2025</v>
      </c>
      <c r="L361" s="60">
        <v>32.4</v>
      </c>
      <c r="M361" s="61">
        <v>27.6</v>
      </c>
      <c r="N361" s="61">
        <v>26.4</v>
      </c>
      <c r="O361" s="61">
        <v>24.6</v>
      </c>
      <c r="P361" s="61">
        <v>33.9</v>
      </c>
      <c r="Q361" s="61">
        <v>0</v>
      </c>
    </row>
    <row r="362" spans="1:17">
      <c r="A362" s="12"/>
      <c r="B362" s="13">
        <f t="shared" si="134"/>
        <v>2026</v>
      </c>
      <c r="C362" s="60">
        <f t="shared" si="135"/>
        <v>42.12</v>
      </c>
      <c r="D362" s="60">
        <f t="shared" si="136"/>
        <v>35.880000000000003</v>
      </c>
      <c r="E362" s="60">
        <f t="shared" si="137"/>
        <v>34.32</v>
      </c>
      <c r="F362" s="60">
        <f t="shared" si="138"/>
        <v>31.980000000000004</v>
      </c>
      <c r="G362" s="60">
        <f t="shared" si="139"/>
        <v>44.07</v>
      </c>
      <c r="H362" s="60">
        <f t="shared" si="140"/>
        <v>0</v>
      </c>
      <c r="J362" s="12"/>
      <c r="K362" s="13">
        <f t="shared" si="133"/>
        <v>2026</v>
      </c>
      <c r="L362" s="60">
        <v>32.4</v>
      </c>
      <c r="M362" s="61">
        <v>27.6</v>
      </c>
      <c r="N362" s="61">
        <v>26.4</v>
      </c>
      <c r="O362" s="61">
        <v>24.6</v>
      </c>
      <c r="P362" s="61">
        <v>33.9</v>
      </c>
      <c r="Q362" s="61">
        <v>0</v>
      </c>
    </row>
    <row r="363" spans="1:17">
      <c r="A363" s="12"/>
      <c r="B363" s="13">
        <f t="shared" si="134"/>
        <v>2027</v>
      </c>
      <c r="C363" s="60">
        <f t="shared" si="135"/>
        <v>42.12</v>
      </c>
      <c r="D363" s="60">
        <f t="shared" si="136"/>
        <v>35.880000000000003</v>
      </c>
      <c r="E363" s="60">
        <f t="shared" si="137"/>
        <v>34.32</v>
      </c>
      <c r="F363" s="60">
        <f t="shared" si="138"/>
        <v>31.980000000000004</v>
      </c>
      <c r="G363" s="60">
        <f t="shared" si="139"/>
        <v>44.07</v>
      </c>
      <c r="H363" s="60">
        <f t="shared" si="140"/>
        <v>0</v>
      </c>
      <c r="J363" s="12"/>
      <c r="K363" s="13">
        <f t="shared" si="133"/>
        <v>2027</v>
      </c>
      <c r="L363" s="60">
        <v>32.4</v>
      </c>
      <c r="M363" s="61">
        <v>27.6</v>
      </c>
      <c r="N363" s="61">
        <v>26.4</v>
      </c>
      <c r="O363" s="61">
        <v>24.6</v>
      </c>
      <c r="P363" s="61">
        <v>33.9</v>
      </c>
      <c r="Q363" s="61">
        <v>0</v>
      </c>
    </row>
    <row r="364" spans="1:17">
      <c r="A364" s="12"/>
      <c r="B364" s="13">
        <f t="shared" si="134"/>
        <v>2028</v>
      </c>
      <c r="C364" s="60">
        <f t="shared" si="135"/>
        <v>42.12</v>
      </c>
      <c r="D364" s="60">
        <f t="shared" si="136"/>
        <v>35.880000000000003</v>
      </c>
      <c r="E364" s="60">
        <f t="shared" si="137"/>
        <v>34.32</v>
      </c>
      <c r="F364" s="60">
        <f t="shared" si="138"/>
        <v>31.980000000000004</v>
      </c>
      <c r="G364" s="60">
        <f t="shared" si="139"/>
        <v>44.07</v>
      </c>
      <c r="H364" s="60">
        <f t="shared" si="140"/>
        <v>0</v>
      </c>
      <c r="J364" s="12"/>
      <c r="K364" s="13">
        <f t="shared" si="133"/>
        <v>2028</v>
      </c>
      <c r="L364" s="60">
        <v>32.4</v>
      </c>
      <c r="M364" s="61">
        <v>27.6</v>
      </c>
      <c r="N364" s="61">
        <v>26.4</v>
      </c>
      <c r="O364" s="61">
        <v>24.6</v>
      </c>
      <c r="P364" s="61">
        <v>33.9</v>
      </c>
      <c r="Q364" s="61">
        <v>0</v>
      </c>
    </row>
    <row r="365" spans="1:17">
      <c r="A365" s="12"/>
      <c r="B365" s="13">
        <f t="shared" si="134"/>
        <v>2029</v>
      </c>
      <c r="C365" s="60">
        <f t="shared" si="135"/>
        <v>42.12</v>
      </c>
      <c r="D365" s="60">
        <f t="shared" si="136"/>
        <v>35.880000000000003</v>
      </c>
      <c r="E365" s="60">
        <f t="shared" si="137"/>
        <v>34.32</v>
      </c>
      <c r="F365" s="60">
        <f t="shared" si="138"/>
        <v>31.980000000000004</v>
      </c>
      <c r="G365" s="60">
        <f t="shared" si="139"/>
        <v>44.07</v>
      </c>
      <c r="H365" s="60">
        <f t="shared" si="140"/>
        <v>0</v>
      </c>
      <c r="J365" s="12"/>
      <c r="K365" s="13">
        <f t="shared" si="133"/>
        <v>2029</v>
      </c>
      <c r="L365" s="60">
        <v>32.4</v>
      </c>
      <c r="M365" s="61">
        <v>27.6</v>
      </c>
      <c r="N365" s="61">
        <v>26.4</v>
      </c>
      <c r="O365" s="61">
        <v>24.6</v>
      </c>
      <c r="P365" s="61">
        <v>33.9</v>
      </c>
      <c r="Q365" s="61">
        <v>0</v>
      </c>
    </row>
    <row r="366" spans="1:17">
      <c r="A366" s="12"/>
      <c r="B366" s="13">
        <f t="shared" si="134"/>
        <v>2030</v>
      </c>
      <c r="C366" s="60">
        <f t="shared" si="135"/>
        <v>42.12</v>
      </c>
      <c r="D366" s="60">
        <f t="shared" si="136"/>
        <v>35.880000000000003</v>
      </c>
      <c r="E366" s="60">
        <f t="shared" si="137"/>
        <v>34.32</v>
      </c>
      <c r="F366" s="60">
        <f t="shared" si="138"/>
        <v>31.980000000000004</v>
      </c>
      <c r="G366" s="60">
        <f t="shared" si="139"/>
        <v>44.07</v>
      </c>
      <c r="H366" s="60">
        <f t="shared" si="140"/>
        <v>0</v>
      </c>
      <c r="J366" s="12"/>
      <c r="K366" s="13">
        <f t="shared" si="133"/>
        <v>2030</v>
      </c>
      <c r="L366" s="60">
        <v>32.4</v>
      </c>
      <c r="M366" s="61">
        <v>27.6</v>
      </c>
      <c r="N366" s="61">
        <v>26.4</v>
      </c>
      <c r="O366" s="61">
        <v>24.6</v>
      </c>
      <c r="P366" s="61">
        <v>33.9</v>
      </c>
      <c r="Q366" s="61">
        <v>0</v>
      </c>
    </row>
    <row r="367" spans="1:17">
      <c r="A367" s="12"/>
      <c r="B367" s="13">
        <f t="shared" si="134"/>
        <v>2031</v>
      </c>
      <c r="C367" s="60">
        <f t="shared" si="135"/>
        <v>42.12</v>
      </c>
      <c r="D367" s="60">
        <f t="shared" si="136"/>
        <v>35.880000000000003</v>
      </c>
      <c r="E367" s="60">
        <f t="shared" si="137"/>
        <v>34.32</v>
      </c>
      <c r="F367" s="60">
        <f t="shared" si="138"/>
        <v>31.980000000000004</v>
      </c>
      <c r="G367" s="60">
        <f t="shared" si="139"/>
        <v>44.07</v>
      </c>
      <c r="H367" s="60">
        <f t="shared" si="140"/>
        <v>0</v>
      </c>
      <c r="J367" s="12"/>
      <c r="K367" s="13">
        <f t="shared" si="133"/>
        <v>2031</v>
      </c>
      <c r="L367" s="60">
        <v>32.4</v>
      </c>
      <c r="M367" s="61">
        <v>27.6</v>
      </c>
      <c r="N367" s="61">
        <v>26.4</v>
      </c>
      <c r="O367" s="61">
        <v>24.6</v>
      </c>
      <c r="P367" s="61">
        <v>33.9</v>
      </c>
      <c r="Q367" s="61">
        <v>0</v>
      </c>
    </row>
    <row r="368" spans="1:17">
      <c r="A368" s="12"/>
      <c r="B368" s="13">
        <f t="shared" si="134"/>
        <v>2032</v>
      </c>
      <c r="C368" s="60">
        <f t="shared" si="135"/>
        <v>42.12</v>
      </c>
      <c r="D368" s="60">
        <f t="shared" si="136"/>
        <v>35.880000000000003</v>
      </c>
      <c r="E368" s="60">
        <f t="shared" si="137"/>
        <v>34.32</v>
      </c>
      <c r="F368" s="60">
        <f t="shared" si="138"/>
        <v>31.980000000000004</v>
      </c>
      <c r="G368" s="60">
        <f t="shared" si="139"/>
        <v>44.07</v>
      </c>
      <c r="H368" s="60">
        <f t="shared" si="140"/>
        <v>0</v>
      </c>
      <c r="J368" s="12"/>
      <c r="K368" s="13">
        <f t="shared" si="133"/>
        <v>2032</v>
      </c>
      <c r="L368" s="60">
        <v>32.4</v>
      </c>
      <c r="M368" s="61">
        <v>27.6</v>
      </c>
      <c r="N368" s="61">
        <v>26.4</v>
      </c>
      <c r="O368" s="61">
        <v>24.6</v>
      </c>
      <c r="P368" s="61">
        <v>33.9</v>
      </c>
      <c r="Q368" s="61">
        <v>0</v>
      </c>
    </row>
    <row r="369" spans="1:28">
      <c r="A369" s="12"/>
      <c r="B369" s="13">
        <f t="shared" si="134"/>
        <v>2033</v>
      </c>
      <c r="C369" s="60">
        <f t="shared" si="135"/>
        <v>42.12</v>
      </c>
      <c r="D369" s="60">
        <f t="shared" si="136"/>
        <v>35.880000000000003</v>
      </c>
      <c r="E369" s="60">
        <f t="shared" si="137"/>
        <v>34.32</v>
      </c>
      <c r="F369" s="60">
        <f t="shared" si="138"/>
        <v>31.980000000000004</v>
      </c>
      <c r="G369" s="60">
        <f t="shared" si="139"/>
        <v>44.07</v>
      </c>
      <c r="H369" s="60">
        <f t="shared" si="140"/>
        <v>0</v>
      </c>
      <c r="J369" s="12"/>
      <c r="K369" s="13">
        <f t="shared" si="133"/>
        <v>2033</v>
      </c>
      <c r="L369" s="60">
        <v>32.4</v>
      </c>
      <c r="M369" s="61">
        <v>27.6</v>
      </c>
      <c r="N369" s="61">
        <v>26.4</v>
      </c>
      <c r="O369" s="61">
        <v>24.6</v>
      </c>
      <c r="P369" s="61">
        <v>33.9</v>
      </c>
      <c r="Q369" s="61">
        <v>0</v>
      </c>
    </row>
    <row r="370" spans="1:28">
      <c r="A370" s="12"/>
      <c r="B370" s="13">
        <f t="shared" si="134"/>
        <v>2034</v>
      </c>
      <c r="C370" s="60">
        <f t="shared" si="135"/>
        <v>42.12</v>
      </c>
      <c r="D370" s="60">
        <f t="shared" si="136"/>
        <v>35.880000000000003</v>
      </c>
      <c r="E370" s="60">
        <f t="shared" si="137"/>
        <v>34.32</v>
      </c>
      <c r="F370" s="60">
        <f t="shared" si="138"/>
        <v>31.980000000000004</v>
      </c>
      <c r="G370" s="60">
        <f t="shared" si="139"/>
        <v>44.07</v>
      </c>
      <c r="H370" s="60">
        <f t="shared" si="140"/>
        <v>0</v>
      </c>
      <c r="J370" s="12"/>
      <c r="K370" s="13">
        <f t="shared" si="133"/>
        <v>2034</v>
      </c>
      <c r="L370" s="60">
        <v>32.4</v>
      </c>
      <c r="M370" s="61">
        <v>27.6</v>
      </c>
      <c r="N370" s="61">
        <v>26.4</v>
      </c>
      <c r="O370" s="61">
        <v>24.6</v>
      </c>
      <c r="P370" s="61">
        <v>33.9</v>
      </c>
      <c r="Q370" s="61">
        <v>0</v>
      </c>
    </row>
    <row r="371" spans="1:28">
      <c r="A371" s="12"/>
      <c r="B371" s="13">
        <f t="shared" si="134"/>
        <v>2035</v>
      </c>
      <c r="C371" s="60">
        <f t="shared" si="135"/>
        <v>42.12</v>
      </c>
      <c r="D371" s="60">
        <f t="shared" si="136"/>
        <v>35.880000000000003</v>
      </c>
      <c r="E371" s="60">
        <f t="shared" si="137"/>
        <v>34.32</v>
      </c>
      <c r="F371" s="60">
        <f t="shared" si="138"/>
        <v>31.980000000000004</v>
      </c>
      <c r="G371" s="60">
        <f t="shared" si="139"/>
        <v>44.07</v>
      </c>
      <c r="H371" s="60">
        <f t="shared" si="140"/>
        <v>0</v>
      </c>
      <c r="J371" s="12"/>
      <c r="K371" s="13">
        <f t="shared" si="133"/>
        <v>2035</v>
      </c>
      <c r="L371" s="60">
        <v>32.4</v>
      </c>
      <c r="M371" s="61">
        <v>27.6</v>
      </c>
      <c r="N371" s="61">
        <v>26.4</v>
      </c>
      <c r="O371" s="61">
        <v>24.6</v>
      </c>
      <c r="P371" s="61">
        <v>33.9</v>
      </c>
      <c r="Q371" s="61">
        <v>0</v>
      </c>
    </row>
    <row r="372" spans="1:28">
      <c r="A372" s="12"/>
      <c r="B372" s="13">
        <f t="shared" si="134"/>
        <v>2036</v>
      </c>
      <c r="C372" s="60">
        <f t="shared" si="135"/>
        <v>42.12</v>
      </c>
      <c r="D372" s="60">
        <f t="shared" si="136"/>
        <v>35.880000000000003</v>
      </c>
      <c r="E372" s="60">
        <f t="shared" si="137"/>
        <v>34.32</v>
      </c>
      <c r="F372" s="60">
        <f t="shared" si="138"/>
        <v>31.980000000000004</v>
      </c>
      <c r="G372" s="60">
        <f t="shared" si="139"/>
        <v>44.07</v>
      </c>
      <c r="H372" s="60">
        <f t="shared" si="140"/>
        <v>0</v>
      </c>
      <c r="J372" s="12"/>
      <c r="K372" s="13">
        <f t="shared" si="133"/>
        <v>2036</v>
      </c>
      <c r="L372" s="60">
        <v>32.4</v>
      </c>
      <c r="M372" s="61">
        <v>27.6</v>
      </c>
      <c r="N372" s="61">
        <v>26.4</v>
      </c>
      <c r="O372" s="61">
        <v>24.6</v>
      </c>
      <c r="P372" s="61">
        <v>33.9</v>
      </c>
      <c r="Q372" s="61">
        <v>0</v>
      </c>
    </row>
    <row r="373" spans="1:28">
      <c r="A373" s="12"/>
      <c r="B373" s="13">
        <f t="shared" si="134"/>
        <v>2037</v>
      </c>
      <c r="C373" s="60">
        <f t="shared" si="135"/>
        <v>42.12</v>
      </c>
      <c r="D373" s="60">
        <f t="shared" si="136"/>
        <v>35.880000000000003</v>
      </c>
      <c r="E373" s="60">
        <f t="shared" si="137"/>
        <v>34.32</v>
      </c>
      <c r="F373" s="60">
        <f t="shared" si="138"/>
        <v>31.980000000000004</v>
      </c>
      <c r="G373" s="60">
        <f t="shared" si="139"/>
        <v>44.07</v>
      </c>
      <c r="H373" s="60">
        <f t="shared" si="140"/>
        <v>0</v>
      </c>
      <c r="J373" s="12"/>
      <c r="K373" s="13">
        <f t="shared" si="133"/>
        <v>2037</v>
      </c>
      <c r="L373" s="60">
        <v>32.4</v>
      </c>
      <c r="M373" s="61">
        <v>27.6</v>
      </c>
      <c r="N373" s="61">
        <v>26.4</v>
      </c>
      <c r="O373" s="61">
        <v>24.6</v>
      </c>
      <c r="P373" s="61">
        <v>33.9</v>
      </c>
      <c r="Q373" s="61">
        <v>0</v>
      </c>
    </row>
    <row r="374" spans="1:28">
      <c r="A374" s="12"/>
      <c r="B374" s="13">
        <f t="shared" si="134"/>
        <v>2038</v>
      </c>
      <c r="C374" s="60">
        <f t="shared" si="135"/>
        <v>42.12</v>
      </c>
      <c r="D374" s="60">
        <f t="shared" si="136"/>
        <v>35.880000000000003</v>
      </c>
      <c r="E374" s="60">
        <f t="shared" si="137"/>
        <v>34.32</v>
      </c>
      <c r="F374" s="60">
        <f t="shared" si="138"/>
        <v>31.980000000000004</v>
      </c>
      <c r="G374" s="60">
        <f t="shared" si="139"/>
        <v>44.07</v>
      </c>
      <c r="H374" s="60">
        <f t="shared" si="140"/>
        <v>0</v>
      </c>
      <c r="J374" s="12"/>
      <c r="K374" s="13">
        <f t="shared" si="133"/>
        <v>2038</v>
      </c>
      <c r="L374" s="60">
        <v>32.4</v>
      </c>
      <c r="M374" s="61">
        <v>27.6</v>
      </c>
      <c r="N374" s="61">
        <v>26.4</v>
      </c>
      <c r="O374" s="61">
        <v>24.6</v>
      </c>
      <c r="P374" s="61">
        <v>33.9</v>
      </c>
      <c r="Q374" s="61">
        <v>0</v>
      </c>
    </row>
    <row r="375" spans="1:28">
      <c r="A375" s="12"/>
      <c r="B375" s="13">
        <f t="shared" si="134"/>
        <v>2039</v>
      </c>
      <c r="C375" s="60">
        <f t="shared" si="135"/>
        <v>42.12</v>
      </c>
      <c r="D375" s="60">
        <f t="shared" si="136"/>
        <v>35.880000000000003</v>
      </c>
      <c r="E375" s="60">
        <f t="shared" si="137"/>
        <v>34.32</v>
      </c>
      <c r="F375" s="60">
        <f t="shared" si="138"/>
        <v>31.980000000000004</v>
      </c>
      <c r="G375" s="60">
        <f t="shared" si="139"/>
        <v>44.07</v>
      </c>
      <c r="H375" s="60">
        <f t="shared" si="140"/>
        <v>0</v>
      </c>
      <c r="J375" s="12"/>
      <c r="K375" s="13">
        <f t="shared" si="133"/>
        <v>2039</v>
      </c>
      <c r="L375" s="60">
        <v>32.4</v>
      </c>
      <c r="M375" s="61">
        <v>27.6</v>
      </c>
      <c r="N375" s="61">
        <v>26.4</v>
      </c>
      <c r="O375" s="61">
        <v>24.6</v>
      </c>
      <c r="P375" s="61">
        <v>33.9</v>
      </c>
      <c r="Q375" s="61">
        <v>0</v>
      </c>
    </row>
    <row r="376" spans="1:28">
      <c r="A376" s="12"/>
      <c r="B376" s="13">
        <f t="shared" si="134"/>
        <v>2040</v>
      </c>
      <c r="C376" s="60">
        <f t="shared" si="135"/>
        <v>42.12</v>
      </c>
      <c r="D376" s="60">
        <f t="shared" si="136"/>
        <v>35.880000000000003</v>
      </c>
      <c r="E376" s="60">
        <f t="shared" si="137"/>
        <v>34.32</v>
      </c>
      <c r="F376" s="60">
        <f t="shared" si="138"/>
        <v>31.980000000000004</v>
      </c>
      <c r="G376" s="60">
        <f t="shared" si="139"/>
        <v>44.07</v>
      </c>
      <c r="H376" s="60">
        <f t="shared" si="140"/>
        <v>0</v>
      </c>
      <c r="J376" s="12"/>
      <c r="K376" s="13">
        <f t="shared" si="133"/>
        <v>2040</v>
      </c>
      <c r="L376" s="60">
        <v>32.4</v>
      </c>
      <c r="M376" s="61">
        <v>27.6</v>
      </c>
      <c r="N376" s="61">
        <v>26.4</v>
      </c>
      <c r="O376" s="61">
        <v>24.6</v>
      </c>
      <c r="P376" s="61">
        <v>33.9</v>
      </c>
      <c r="Q376" s="61">
        <v>0</v>
      </c>
    </row>
    <row r="377" spans="1:28">
      <c r="A377" s="12"/>
      <c r="B377" s="13">
        <f t="shared" si="134"/>
        <v>2041</v>
      </c>
      <c r="C377" s="60">
        <f t="shared" si="135"/>
        <v>42.12</v>
      </c>
      <c r="D377" s="60">
        <f t="shared" si="136"/>
        <v>35.880000000000003</v>
      </c>
      <c r="E377" s="60">
        <f t="shared" si="137"/>
        <v>34.32</v>
      </c>
      <c r="F377" s="60">
        <f t="shared" si="138"/>
        <v>31.980000000000004</v>
      </c>
      <c r="G377" s="60">
        <f t="shared" si="139"/>
        <v>44.07</v>
      </c>
      <c r="H377" s="60">
        <f t="shared" si="140"/>
        <v>0</v>
      </c>
      <c r="J377" s="12"/>
      <c r="K377" s="13">
        <f t="shared" si="133"/>
        <v>2041</v>
      </c>
      <c r="L377" s="60">
        <v>32.4</v>
      </c>
      <c r="M377" s="61">
        <v>27.6</v>
      </c>
      <c r="N377" s="61">
        <v>26.4</v>
      </c>
      <c r="O377" s="61">
        <v>24.6</v>
      </c>
      <c r="P377" s="61">
        <v>33.9</v>
      </c>
      <c r="Q377" s="61">
        <v>0</v>
      </c>
    </row>
    <row r="378" spans="1:28">
      <c r="A378" s="12"/>
      <c r="B378" s="13">
        <f t="shared" si="134"/>
        <v>2042</v>
      </c>
      <c r="C378" s="60">
        <f t="shared" si="135"/>
        <v>42.12</v>
      </c>
      <c r="D378" s="60">
        <f t="shared" si="136"/>
        <v>35.880000000000003</v>
      </c>
      <c r="E378" s="60">
        <f t="shared" si="137"/>
        <v>34.32</v>
      </c>
      <c r="F378" s="60">
        <f t="shared" si="138"/>
        <v>31.980000000000004</v>
      </c>
      <c r="G378" s="60">
        <f t="shared" si="139"/>
        <v>44.07</v>
      </c>
      <c r="H378" s="60">
        <f t="shared" si="140"/>
        <v>0</v>
      </c>
      <c r="J378" s="12"/>
      <c r="K378" s="13">
        <f t="shared" si="133"/>
        <v>2042</v>
      </c>
      <c r="L378" s="60">
        <v>32.4</v>
      </c>
      <c r="M378" s="61">
        <v>27.6</v>
      </c>
      <c r="N378" s="61">
        <v>26.4</v>
      </c>
      <c r="O378" s="61">
        <v>24.6</v>
      </c>
      <c r="P378" s="61">
        <v>33.9</v>
      </c>
      <c r="Q378" s="61">
        <v>0</v>
      </c>
    </row>
    <row r="379" spans="1:28">
      <c r="A379" s="12"/>
      <c r="B379" s="13">
        <f t="shared" si="134"/>
        <v>2043</v>
      </c>
      <c r="C379" s="60">
        <f t="shared" si="135"/>
        <v>42.12</v>
      </c>
      <c r="D379" s="60">
        <f t="shared" si="136"/>
        <v>35.880000000000003</v>
      </c>
      <c r="E379" s="60">
        <f t="shared" si="137"/>
        <v>34.32</v>
      </c>
      <c r="F379" s="60">
        <f t="shared" si="138"/>
        <v>31.980000000000004</v>
      </c>
      <c r="G379" s="60">
        <f t="shared" si="139"/>
        <v>44.07</v>
      </c>
      <c r="H379" s="60">
        <f t="shared" si="140"/>
        <v>0</v>
      </c>
      <c r="J379" s="12"/>
      <c r="K379" s="13">
        <f t="shared" si="133"/>
        <v>2043</v>
      </c>
      <c r="L379" s="60">
        <v>32.4</v>
      </c>
      <c r="M379" s="61">
        <v>27.6</v>
      </c>
      <c r="N379" s="61">
        <v>26.4</v>
      </c>
      <c r="O379" s="61">
        <v>24.6</v>
      </c>
      <c r="P379" s="61">
        <v>33.9</v>
      </c>
      <c r="Q379" s="61">
        <v>0</v>
      </c>
    </row>
    <row r="380" spans="1:28">
      <c r="A380" s="43"/>
      <c r="B380" s="13">
        <f t="shared" si="134"/>
        <v>2044</v>
      </c>
      <c r="C380" s="60">
        <f t="shared" si="135"/>
        <v>42.12</v>
      </c>
      <c r="D380" s="60">
        <f t="shared" si="136"/>
        <v>35.880000000000003</v>
      </c>
      <c r="E380" s="60">
        <f t="shared" si="137"/>
        <v>34.32</v>
      </c>
      <c r="F380" s="60">
        <f t="shared" si="138"/>
        <v>31.980000000000004</v>
      </c>
      <c r="G380" s="60">
        <f t="shared" si="139"/>
        <v>44.07</v>
      </c>
      <c r="H380" s="60">
        <f t="shared" si="140"/>
        <v>0</v>
      </c>
      <c r="J380" s="43"/>
      <c r="K380" s="13">
        <f t="shared" si="133"/>
        <v>2044</v>
      </c>
      <c r="L380" s="60">
        <v>32.4</v>
      </c>
      <c r="M380" s="61">
        <v>27.6</v>
      </c>
      <c r="N380" s="61">
        <v>26.4</v>
      </c>
      <c r="O380" s="61">
        <v>24.6</v>
      </c>
      <c r="P380" s="61">
        <v>33.9</v>
      </c>
      <c r="Q380" s="61">
        <v>0</v>
      </c>
    </row>
    <row r="382" spans="1:28" s="102" customFormat="1">
      <c r="A382" s="101" t="s">
        <v>37</v>
      </c>
    </row>
    <row r="384" spans="1:28">
      <c r="A384" s="4" t="s">
        <v>84</v>
      </c>
      <c r="J384" s="4" t="s">
        <v>85</v>
      </c>
      <c r="S384" s="4" t="s">
        <v>86</v>
      </c>
      <c r="AB384" s="4" t="s">
        <v>87</v>
      </c>
    </row>
    <row r="385" spans="1:46">
      <c r="A385" s="134" t="s">
        <v>5</v>
      </c>
      <c r="B385" s="134"/>
      <c r="C385" s="6">
        <v>1</v>
      </c>
      <c r="D385" s="6">
        <v>2</v>
      </c>
      <c r="E385" s="6">
        <v>3</v>
      </c>
      <c r="F385" s="6">
        <v>4</v>
      </c>
      <c r="G385" s="6">
        <v>5</v>
      </c>
      <c r="H385" s="6">
        <v>6</v>
      </c>
      <c r="J385" s="143" t="s">
        <v>5</v>
      </c>
      <c r="K385" s="144"/>
      <c r="L385" s="6">
        <v>1</v>
      </c>
      <c r="M385" s="6">
        <v>2</v>
      </c>
      <c r="N385" s="6">
        <v>3</v>
      </c>
      <c r="O385" s="6">
        <v>4</v>
      </c>
      <c r="P385" s="6">
        <v>5</v>
      </c>
      <c r="Q385" s="6">
        <v>6</v>
      </c>
      <c r="S385" s="143" t="s">
        <v>5</v>
      </c>
      <c r="T385" s="144"/>
      <c r="U385" s="6">
        <v>1</v>
      </c>
      <c r="V385" s="6">
        <v>2</v>
      </c>
      <c r="W385" s="6">
        <v>3</v>
      </c>
      <c r="X385" s="6">
        <v>4</v>
      </c>
      <c r="Y385" s="6">
        <v>5</v>
      </c>
      <c r="Z385" s="6">
        <v>6</v>
      </c>
      <c r="AB385" s="143" t="s">
        <v>5</v>
      </c>
      <c r="AC385" s="144"/>
      <c r="AD385" s="6">
        <v>1</v>
      </c>
      <c r="AE385" s="6">
        <v>2</v>
      </c>
      <c r="AF385" s="6">
        <v>3</v>
      </c>
      <c r="AG385" s="6">
        <v>4</v>
      </c>
      <c r="AH385" s="6">
        <v>5</v>
      </c>
      <c r="AI385" s="6">
        <v>6</v>
      </c>
    </row>
    <row r="386" spans="1:46" ht="31.5">
      <c r="A386" s="134" t="s">
        <v>6</v>
      </c>
      <c r="B386" s="134"/>
      <c r="C386" s="35" t="s">
        <v>89</v>
      </c>
      <c r="D386" s="35" t="s">
        <v>90</v>
      </c>
      <c r="E386" s="35" t="s">
        <v>91</v>
      </c>
      <c r="F386" s="35" t="s">
        <v>92</v>
      </c>
      <c r="G386" s="35" t="s">
        <v>93</v>
      </c>
      <c r="H386" s="35" t="s">
        <v>322</v>
      </c>
      <c r="J386" s="134" t="s">
        <v>6</v>
      </c>
      <c r="K386" s="134"/>
      <c r="L386" s="35" t="s">
        <v>89</v>
      </c>
      <c r="M386" s="35" t="s">
        <v>90</v>
      </c>
      <c r="N386" s="35" t="s">
        <v>91</v>
      </c>
      <c r="O386" s="35" t="s">
        <v>92</v>
      </c>
      <c r="P386" s="35" t="s">
        <v>93</v>
      </c>
      <c r="Q386" s="35" t="s">
        <v>322</v>
      </c>
      <c r="S386" s="134" t="s">
        <v>6</v>
      </c>
      <c r="T386" s="134"/>
      <c r="U386" s="35" t="s">
        <v>89</v>
      </c>
      <c r="V386" s="35" t="s">
        <v>90</v>
      </c>
      <c r="W386" s="35" t="s">
        <v>91</v>
      </c>
      <c r="X386" s="35" t="s">
        <v>92</v>
      </c>
      <c r="Y386" s="35" t="s">
        <v>93</v>
      </c>
      <c r="Z386" s="35" t="s">
        <v>322</v>
      </c>
      <c r="AB386" s="134" t="s">
        <v>6</v>
      </c>
      <c r="AC386" s="134"/>
      <c r="AD386" s="35" t="s">
        <v>89</v>
      </c>
      <c r="AE386" s="35" t="s">
        <v>90</v>
      </c>
      <c r="AF386" s="35" t="s">
        <v>91</v>
      </c>
      <c r="AG386" s="35" t="s">
        <v>92</v>
      </c>
      <c r="AH386" s="35" t="s">
        <v>93</v>
      </c>
      <c r="AI386" s="35" t="s">
        <v>93</v>
      </c>
    </row>
    <row r="387" spans="1:46" ht="21">
      <c r="A387" s="8"/>
      <c r="B387" s="9" t="s">
        <v>22</v>
      </c>
      <c r="C387" s="36" t="s">
        <v>88</v>
      </c>
      <c r="D387" s="36" t="s">
        <v>88</v>
      </c>
      <c r="E387" s="36" t="s">
        <v>88</v>
      </c>
      <c r="F387" s="36" t="s">
        <v>88</v>
      </c>
      <c r="G387" s="36" t="s">
        <v>88</v>
      </c>
      <c r="H387" s="36" t="s">
        <v>88</v>
      </c>
      <c r="J387" s="8"/>
      <c r="K387" s="9" t="s">
        <v>22</v>
      </c>
      <c r="L387" s="36" t="s">
        <v>88</v>
      </c>
      <c r="M387" s="36" t="s">
        <v>88</v>
      </c>
      <c r="N387" s="36" t="s">
        <v>88</v>
      </c>
      <c r="O387" s="36" t="s">
        <v>88</v>
      </c>
      <c r="P387" s="36" t="s">
        <v>88</v>
      </c>
      <c r="Q387" s="36" t="s">
        <v>88</v>
      </c>
      <c r="S387" s="8"/>
      <c r="T387" s="9" t="s">
        <v>22</v>
      </c>
      <c r="U387" s="36" t="s">
        <v>88</v>
      </c>
      <c r="V387" s="36" t="s">
        <v>88</v>
      </c>
      <c r="W387" s="36" t="s">
        <v>88</v>
      </c>
      <c r="X387" s="36" t="s">
        <v>88</v>
      </c>
      <c r="Y387" s="36" t="s">
        <v>88</v>
      </c>
      <c r="Z387" s="36" t="s">
        <v>88</v>
      </c>
      <c r="AB387" s="8"/>
      <c r="AC387" s="9" t="s">
        <v>22</v>
      </c>
      <c r="AD387" s="36" t="s">
        <v>88</v>
      </c>
      <c r="AE387" s="36" t="s">
        <v>88</v>
      </c>
      <c r="AF387" s="36" t="s">
        <v>88</v>
      </c>
      <c r="AG387" s="36" t="s">
        <v>88</v>
      </c>
      <c r="AH387" s="36" t="s">
        <v>88</v>
      </c>
      <c r="AI387" s="36" t="s">
        <v>88</v>
      </c>
    </row>
    <row r="388" spans="1:46">
      <c r="A388" s="12"/>
      <c r="B388" s="13">
        <f>B316</f>
        <v>2015</v>
      </c>
      <c r="C388" s="83">
        <f>AK390*300</f>
        <v>863100</v>
      </c>
      <c r="D388" s="84">
        <f>AK391*300</f>
        <v>3010500</v>
      </c>
      <c r="E388" s="84">
        <f>AK392*300</f>
        <v>1952400</v>
      </c>
      <c r="F388" s="84">
        <f>AK393*300</f>
        <v>1983300</v>
      </c>
      <c r="G388" s="84">
        <f>AK394*300</f>
        <v>1956600</v>
      </c>
      <c r="H388" s="84">
        <f>AK395*300</f>
        <v>0</v>
      </c>
      <c r="J388" s="12"/>
      <c r="K388" s="13">
        <f t="shared" ref="K388:K417" si="141">B388</f>
        <v>2015</v>
      </c>
      <c r="L388" s="83">
        <f t="shared" ref="L388:L397" si="142">C388*0.0434</f>
        <v>37458.54</v>
      </c>
      <c r="M388" s="83">
        <f t="shared" ref="M388:M397" si="143">D388*0.0434</f>
        <v>130655.7</v>
      </c>
      <c r="N388" s="83">
        <f t="shared" ref="N388:N397" si="144">E388*0.0434</f>
        <v>84734.16</v>
      </c>
      <c r="O388" s="83">
        <f t="shared" ref="O388:O397" si="145">F388*0.0434</f>
        <v>86075.22</v>
      </c>
      <c r="P388" s="83">
        <f t="shared" ref="P388:P397" si="146">G388*0.0434</f>
        <v>84916.44</v>
      </c>
      <c r="Q388" s="83">
        <f t="shared" ref="Q388:Q397" si="147">H388*0.0434</f>
        <v>0</v>
      </c>
      <c r="S388" s="12"/>
      <c r="T388" s="13">
        <f t="shared" ref="T388:T417" si="148">K388</f>
        <v>2015</v>
      </c>
      <c r="U388" s="83">
        <f t="shared" ref="U388:U397" si="149">C388*0.008</f>
        <v>6904.8</v>
      </c>
      <c r="V388" s="83">
        <f t="shared" ref="V388:V397" si="150">D388*0.008</f>
        <v>24084</v>
      </c>
      <c r="W388" s="83">
        <f t="shared" ref="W388:W397" si="151">E388*0.008</f>
        <v>15619.2</v>
      </c>
      <c r="X388" s="83">
        <f t="shared" ref="X388:X397" si="152">F388*0.008</f>
        <v>15866.4</v>
      </c>
      <c r="Y388" s="83">
        <f t="shared" ref="Y388:Y397" si="153">G388*0.008</f>
        <v>15652.800000000001</v>
      </c>
      <c r="Z388" s="83">
        <f t="shared" ref="Z388:Z397" si="154">H388*0.008</f>
        <v>0</v>
      </c>
      <c r="AB388" s="12"/>
      <c r="AC388" s="13">
        <f t="shared" ref="AC388:AC417" si="155">T388</f>
        <v>2015</v>
      </c>
      <c r="AD388" s="85">
        <f t="shared" ref="AD388:AD398" si="156">C388-L388-U388</f>
        <v>818736.65999999992</v>
      </c>
      <c r="AE388" s="85">
        <f t="shared" ref="AE388:AE398" si="157">D388-M388-V388</f>
        <v>2855760.3</v>
      </c>
      <c r="AF388" s="85">
        <f t="shared" ref="AF388:AF398" si="158">E388-N388-W388</f>
        <v>1852046.6400000001</v>
      </c>
      <c r="AG388" s="85">
        <f t="shared" ref="AG388:AG398" si="159">F388-O388-X388</f>
        <v>1881358.3800000001</v>
      </c>
      <c r="AH388" s="85">
        <f t="shared" ref="AH388:AH398" si="160">G388-P388-Y388</f>
        <v>1856030.76</v>
      </c>
      <c r="AI388" s="85">
        <f t="shared" ref="AI388:AI398" si="161">H388-Q388-Z388</f>
        <v>0</v>
      </c>
      <c r="AO388" s="103"/>
      <c r="AP388" s="103"/>
      <c r="AQ388" s="103"/>
      <c r="AR388" s="103"/>
      <c r="AS388" s="103"/>
      <c r="AT388" s="103"/>
    </row>
    <row r="389" spans="1:46">
      <c r="A389" s="12"/>
      <c r="B389" s="13">
        <f t="shared" ref="B389:B417" si="162">B317</f>
        <v>2016</v>
      </c>
      <c r="C389" s="83">
        <f>C388+((C398-C388)/(B398-B388))*(B389-B388)</f>
        <v>876930</v>
      </c>
      <c r="D389" s="83">
        <f>$D$388+(($D$398-$D$388)/($B$398-$B$388))*(B389-$B$388)</f>
        <v>3059250</v>
      </c>
      <c r="E389" s="83">
        <f>$E$388+(($E$398-$E$388)/($B$398-$B$388))*(B389-$B$388)</f>
        <v>1975830</v>
      </c>
      <c r="F389" s="83">
        <f>$F$388+(($F$398-$F$388)/($B$398-$B$388))*(B389-$B$388)</f>
        <v>2016180</v>
      </c>
      <c r="G389" s="83">
        <f>$G$388+(($G$398-$G$388)/($B$398-$B$388))*(B389-$B$388)</f>
        <v>1980000</v>
      </c>
      <c r="H389" s="84">
        <f t="shared" ref="H389:H412" si="163">AK396*300</f>
        <v>0</v>
      </c>
      <c r="J389" s="12"/>
      <c r="K389" s="13">
        <f t="shared" si="141"/>
        <v>2016</v>
      </c>
      <c r="L389" s="83">
        <f t="shared" si="142"/>
        <v>38058.762000000002</v>
      </c>
      <c r="M389" s="83">
        <f t="shared" si="143"/>
        <v>132771.45000000001</v>
      </c>
      <c r="N389" s="83">
        <f t="shared" si="144"/>
        <v>85751.021999999997</v>
      </c>
      <c r="O389" s="83">
        <f t="shared" si="145"/>
        <v>87502.212</v>
      </c>
      <c r="P389" s="83">
        <f t="shared" si="146"/>
        <v>85932</v>
      </c>
      <c r="Q389" s="83">
        <f t="shared" si="147"/>
        <v>0</v>
      </c>
      <c r="S389" s="12"/>
      <c r="T389" s="13">
        <f t="shared" si="148"/>
        <v>2016</v>
      </c>
      <c r="U389" s="83">
        <f t="shared" si="149"/>
        <v>7015.4400000000005</v>
      </c>
      <c r="V389" s="83">
        <f t="shared" si="150"/>
        <v>24474</v>
      </c>
      <c r="W389" s="83">
        <f t="shared" si="151"/>
        <v>15806.640000000001</v>
      </c>
      <c r="X389" s="83">
        <f t="shared" si="152"/>
        <v>16129.44</v>
      </c>
      <c r="Y389" s="83">
        <f t="shared" si="153"/>
        <v>15840</v>
      </c>
      <c r="Z389" s="83">
        <f t="shared" si="154"/>
        <v>0</v>
      </c>
      <c r="AB389" s="12"/>
      <c r="AC389" s="13">
        <f t="shared" si="155"/>
        <v>2016</v>
      </c>
      <c r="AD389" s="85">
        <f t="shared" si="156"/>
        <v>831855.79800000007</v>
      </c>
      <c r="AE389" s="85">
        <f t="shared" si="157"/>
        <v>2902004.55</v>
      </c>
      <c r="AF389" s="85">
        <f t="shared" si="158"/>
        <v>1874272.3380000002</v>
      </c>
      <c r="AG389" s="85">
        <f t="shared" si="159"/>
        <v>1912548.348</v>
      </c>
      <c r="AH389" s="85">
        <f t="shared" si="160"/>
        <v>1878228</v>
      </c>
      <c r="AI389" s="85">
        <f t="shared" si="161"/>
        <v>0</v>
      </c>
      <c r="AJ389" s="4" t="s">
        <v>315</v>
      </c>
      <c r="AK389" s="4">
        <v>2015</v>
      </c>
      <c r="AL389" s="4">
        <v>2025</v>
      </c>
      <c r="AM389" s="4">
        <v>2040</v>
      </c>
      <c r="AO389" s="103"/>
      <c r="AP389" s="103"/>
      <c r="AQ389" s="103"/>
      <c r="AR389" s="103"/>
      <c r="AS389" s="103"/>
      <c r="AT389" s="103"/>
    </row>
    <row r="390" spans="1:46">
      <c r="A390" s="12"/>
      <c r="B390" s="13">
        <f t="shared" si="162"/>
        <v>2017</v>
      </c>
      <c r="C390" s="83">
        <f t="shared" ref="C390:C397" si="164">$C$388+(($C$398-$C$388)/($B$398-$B$388))*(B390-$B$388)</f>
        <v>890760</v>
      </c>
      <c r="D390" s="83">
        <f t="shared" ref="D390:D397" si="165">$D$388+(($D$398-$D$388)/($B$398-$B$388))*(B390-$B$388)</f>
        <v>3108000</v>
      </c>
      <c r="E390" s="83">
        <f t="shared" ref="E390:E397" si="166">$E$388+(($E$398-$E$388)/($B$398-$B$388))*(B390-$B$388)</f>
        <v>1999260</v>
      </c>
      <c r="F390" s="83">
        <f t="shared" ref="F390:F397" si="167">$F$388+(($F$398-$F$388)/($B$398-$B$388))*(B390-$B$388)</f>
        <v>2049060</v>
      </c>
      <c r="G390" s="83">
        <f t="shared" ref="G390:G397" si="168">$G$388+(($G$398-$G$388)/($B$398-$B$388))*(B390-$B$388)</f>
        <v>2003400</v>
      </c>
      <c r="H390" s="84">
        <f t="shared" si="163"/>
        <v>0</v>
      </c>
      <c r="J390" s="12"/>
      <c r="K390" s="13">
        <f t="shared" si="141"/>
        <v>2017</v>
      </c>
      <c r="L390" s="83">
        <f t="shared" si="142"/>
        <v>38658.984000000004</v>
      </c>
      <c r="M390" s="83">
        <f t="shared" si="143"/>
        <v>134887.20000000001</v>
      </c>
      <c r="N390" s="83">
        <f t="shared" si="144"/>
        <v>86767.884000000005</v>
      </c>
      <c r="O390" s="83">
        <f t="shared" si="145"/>
        <v>88929.203999999998</v>
      </c>
      <c r="P390" s="83">
        <f t="shared" si="146"/>
        <v>86947.56</v>
      </c>
      <c r="Q390" s="83">
        <f t="shared" si="147"/>
        <v>0</v>
      </c>
      <c r="S390" s="12"/>
      <c r="T390" s="13">
        <f t="shared" si="148"/>
        <v>2017</v>
      </c>
      <c r="U390" s="83">
        <f t="shared" si="149"/>
        <v>7126.08</v>
      </c>
      <c r="V390" s="83">
        <f t="shared" si="150"/>
        <v>24864</v>
      </c>
      <c r="W390" s="83">
        <f t="shared" si="151"/>
        <v>15994.08</v>
      </c>
      <c r="X390" s="83">
        <f t="shared" si="152"/>
        <v>16392.48</v>
      </c>
      <c r="Y390" s="83">
        <f t="shared" si="153"/>
        <v>16027.2</v>
      </c>
      <c r="Z390" s="83">
        <f t="shared" si="154"/>
        <v>0</v>
      </c>
      <c r="AB390" s="12"/>
      <c r="AC390" s="13">
        <f t="shared" si="155"/>
        <v>2017</v>
      </c>
      <c r="AD390" s="85">
        <f t="shared" si="156"/>
        <v>844974.93599999999</v>
      </c>
      <c r="AE390" s="85">
        <f t="shared" si="157"/>
        <v>2948248.8</v>
      </c>
      <c r="AF390" s="85">
        <f t="shared" si="158"/>
        <v>1896498.0359999998</v>
      </c>
      <c r="AG390" s="85">
        <f t="shared" si="159"/>
        <v>1943738.3160000001</v>
      </c>
      <c r="AH390" s="85">
        <f t="shared" si="160"/>
        <v>1900425.24</v>
      </c>
      <c r="AI390" s="85">
        <f t="shared" si="161"/>
        <v>0</v>
      </c>
      <c r="AJ390" s="4" t="s">
        <v>316</v>
      </c>
      <c r="AK390" s="4">
        <v>2877</v>
      </c>
      <c r="AL390" s="4">
        <v>3338</v>
      </c>
      <c r="AM390" s="4">
        <v>3705</v>
      </c>
      <c r="AO390" s="103"/>
      <c r="AP390" s="103"/>
      <c r="AQ390" s="103"/>
      <c r="AR390" s="103"/>
      <c r="AS390" s="103"/>
      <c r="AT390" s="103"/>
    </row>
    <row r="391" spans="1:46">
      <c r="A391" s="12"/>
      <c r="B391" s="13">
        <f t="shared" si="162"/>
        <v>2018</v>
      </c>
      <c r="C391" s="83">
        <f t="shared" si="164"/>
        <v>904590</v>
      </c>
      <c r="D391" s="83">
        <f t="shared" si="165"/>
        <v>3156750</v>
      </c>
      <c r="E391" s="83">
        <f t="shared" si="166"/>
        <v>2022690</v>
      </c>
      <c r="F391" s="83">
        <f t="shared" si="167"/>
        <v>2081940</v>
      </c>
      <c r="G391" s="83">
        <f t="shared" si="168"/>
        <v>2026800</v>
      </c>
      <c r="H391" s="84">
        <f t="shared" si="163"/>
        <v>0</v>
      </c>
      <c r="J391" s="12"/>
      <c r="K391" s="13">
        <f t="shared" si="141"/>
        <v>2018</v>
      </c>
      <c r="L391" s="83">
        <f t="shared" si="142"/>
        <v>39259.205999999998</v>
      </c>
      <c r="M391" s="83">
        <f t="shared" si="143"/>
        <v>137002.95000000001</v>
      </c>
      <c r="N391" s="83">
        <f t="shared" si="144"/>
        <v>87784.745999999999</v>
      </c>
      <c r="O391" s="83">
        <f t="shared" si="145"/>
        <v>90356.195999999996</v>
      </c>
      <c r="P391" s="83">
        <f t="shared" si="146"/>
        <v>87963.12</v>
      </c>
      <c r="Q391" s="83">
        <f t="shared" si="147"/>
        <v>0</v>
      </c>
      <c r="S391" s="12"/>
      <c r="T391" s="13">
        <f t="shared" si="148"/>
        <v>2018</v>
      </c>
      <c r="U391" s="83">
        <f t="shared" si="149"/>
        <v>7236.72</v>
      </c>
      <c r="V391" s="83">
        <f t="shared" si="150"/>
        <v>25254</v>
      </c>
      <c r="W391" s="83">
        <f t="shared" si="151"/>
        <v>16181.52</v>
      </c>
      <c r="X391" s="83">
        <f t="shared" si="152"/>
        <v>16655.52</v>
      </c>
      <c r="Y391" s="83">
        <f t="shared" si="153"/>
        <v>16214.4</v>
      </c>
      <c r="Z391" s="83">
        <f t="shared" si="154"/>
        <v>0</v>
      </c>
      <c r="AB391" s="12"/>
      <c r="AC391" s="13">
        <f t="shared" si="155"/>
        <v>2018</v>
      </c>
      <c r="AD391" s="85">
        <f t="shared" si="156"/>
        <v>858094.07400000002</v>
      </c>
      <c r="AE391" s="85">
        <f t="shared" si="157"/>
        <v>2994493.05</v>
      </c>
      <c r="AF391" s="85">
        <f t="shared" si="158"/>
        <v>1918723.7339999999</v>
      </c>
      <c r="AG391" s="85">
        <f t="shared" si="159"/>
        <v>1974928.284</v>
      </c>
      <c r="AH391" s="85">
        <f t="shared" si="160"/>
        <v>1922622.48</v>
      </c>
      <c r="AI391" s="85">
        <f t="shared" si="161"/>
        <v>0</v>
      </c>
      <c r="AJ391" s="4" t="s">
        <v>317</v>
      </c>
      <c r="AK391" s="4">
        <v>10035</v>
      </c>
      <c r="AL391" s="4">
        <v>11660</v>
      </c>
      <c r="AM391" s="4">
        <v>12720</v>
      </c>
      <c r="AO391" s="103"/>
      <c r="AP391" s="103"/>
      <c r="AQ391" s="103"/>
      <c r="AR391" s="103"/>
      <c r="AS391" s="103"/>
      <c r="AT391" s="103"/>
    </row>
    <row r="392" spans="1:46">
      <c r="A392" s="12"/>
      <c r="B392" s="13">
        <f t="shared" si="162"/>
        <v>2019</v>
      </c>
      <c r="C392" s="83">
        <f t="shared" si="164"/>
        <v>918420</v>
      </c>
      <c r="D392" s="83">
        <f t="shared" si="165"/>
        <v>3205500</v>
      </c>
      <c r="E392" s="83">
        <f t="shared" si="166"/>
        <v>2046120</v>
      </c>
      <c r="F392" s="83">
        <f t="shared" si="167"/>
        <v>2114820</v>
      </c>
      <c r="G392" s="83">
        <f t="shared" si="168"/>
        <v>2050200</v>
      </c>
      <c r="H392" s="84">
        <f t="shared" si="163"/>
        <v>0</v>
      </c>
      <c r="J392" s="12"/>
      <c r="K392" s="13">
        <f t="shared" si="141"/>
        <v>2019</v>
      </c>
      <c r="L392" s="83">
        <f t="shared" si="142"/>
        <v>39859.428</v>
      </c>
      <c r="M392" s="83">
        <f t="shared" si="143"/>
        <v>139118.70000000001</v>
      </c>
      <c r="N392" s="83">
        <f t="shared" si="144"/>
        <v>88801.608000000007</v>
      </c>
      <c r="O392" s="83">
        <f t="shared" si="145"/>
        <v>91783.188000000009</v>
      </c>
      <c r="P392" s="83">
        <f t="shared" si="146"/>
        <v>88978.680000000008</v>
      </c>
      <c r="Q392" s="83">
        <f t="shared" si="147"/>
        <v>0</v>
      </c>
      <c r="S392" s="12"/>
      <c r="T392" s="13">
        <f t="shared" si="148"/>
        <v>2019</v>
      </c>
      <c r="U392" s="83">
        <f t="shared" si="149"/>
        <v>7347.3600000000006</v>
      </c>
      <c r="V392" s="83">
        <f t="shared" si="150"/>
        <v>25644</v>
      </c>
      <c r="W392" s="83">
        <f t="shared" si="151"/>
        <v>16368.960000000001</v>
      </c>
      <c r="X392" s="83">
        <f t="shared" si="152"/>
        <v>16918.560000000001</v>
      </c>
      <c r="Y392" s="83">
        <f t="shared" si="153"/>
        <v>16401.599999999999</v>
      </c>
      <c r="Z392" s="83">
        <f t="shared" si="154"/>
        <v>0</v>
      </c>
      <c r="AB392" s="12"/>
      <c r="AC392" s="13">
        <f t="shared" si="155"/>
        <v>2019</v>
      </c>
      <c r="AD392" s="85">
        <f t="shared" si="156"/>
        <v>871213.21200000006</v>
      </c>
      <c r="AE392" s="85">
        <f t="shared" si="157"/>
        <v>3040737.3</v>
      </c>
      <c r="AF392" s="85">
        <f t="shared" si="158"/>
        <v>1940949.432</v>
      </c>
      <c r="AG392" s="85">
        <f t="shared" si="159"/>
        <v>2006118.2519999999</v>
      </c>
      <c r="AH392" s="85">
        <f t="shared" si="160"/>
        <v>1944819.72</v>
      </c>
      <c r="AI392" s="85">
        <f t="shared" si="161"/>
        <v>0</v>
      </c>
      <c r="AJ392" s="4" t="s">
        <v>318</v>
      </c>
      <c r="AK392" s="4">
        <v>6508</v>
      </c>
      <c r="AL392" s="4">
        <v>7289</v>
      </c>
      <c r="AM392" s="4">
        <v>7872</v>
      </c>
      <c r="AO392" s="103"/>
      <c r="AP392" s="103"/>
      <c r="AQ392" s="103"/>
      <c r="AR392" s="103"/>
      <c r="AS392" s="103"/>
      <c r="AT392" s="103"/>
    </row>
    <row r="393" spans="1:46">
      <c r="A393" s="12"/>
      <c r="B393" s="13">
        <f t="shared" si="162"/>
        <v>2020</v>
      </c>
      <c r="C393" s="83">
        <f t="shared" si="164"/>
        <v>932250</v>
      </c>
      <c r="D393" s="83">
        <f t="shared" si="165"/>
        <v>3254250</v>
      </c>
      <c r="E393" s="83">
        <f t="shared" si="166"/>
        <v>2069550</v>
      </c>
      <c r="F393" s="83">
        <f t="shared" si="167"/>
        <v>2147700</v>
      </c>
      <c r="G393" s="83">
        <f t="shared" si="168"/>
        <v>2073600</v>
      </c>
      <c r="H393" s="84">
        <f t="shared" si="163"/>
        <v>0</v>
      </c>
      <c r="J393" s="12"/>
      <c r="K393" s="13">
        <f t="shared" si="141"/>
        <v>2020</v>
      </c>
      <c r="L393" s="83">
        <f t="shared" si="142"/>
        <v>40459.65</v>
      </c>
      <c r="M393" s="83">
        <f t="shared" si="143"/>
        <v>141234.45000000001</v>
      </c>
      <c r="N393" s="83">
        <f t="shared" si="144"/>
        <v>89818.47</v>
      </c>
      <c r="O393" s="83">
        <f t="shared" si="145"/>
        <v>93210.180000000008</v>
      </c>
      <c r="P393" s="83">
        <f t="shared" si="146"/>
        <v>89994.240000000005</v>
      </c>
      <c r="Q393" s="83">
        <f t="shared" si="147"/>
        <v>0</v>
      </c>
      <c r="S393" s="12"/>
      <c r="T393" s="13">
        <f t="shared" si="148"/>
        <v>2020</v>
      </c>
      <c r="U393" s="83">
        <f t="shared" si="149"/>
        <v>7458</v>
      </c>
      <c r="V393" s="83">
        <f t="shared" si="150"/>
        <v>26034</v>
      </c>
      <c r="W393" s="83">
        <f t="shared" si="151"/>
        <v>16556.400000000001</v>
      </c>
      <c r="X393" s="83">
        <f t="shared" si="152"/>
        <v>17181.599999999999</v>
      </c>
      <c r="Y393" s="83">
        <f t="shared" si="153"/>
        <v>16588.8</v>
      </c>
      <c r="Z393" s="83">
        <f t="shared" si="154"/>
        <v>0</v>
      </c>
      <c r="AB393" s="12"/>
      <c r="AC393" s="13">
        <f t="shared" si="155"/>
        <v>2020</v>
      </c>
      <c r="AD393" s="85">
        <f t="shared" si="156"/>
        <v>884332.35</v>
      </c>
      <c r="AE393" s="85">
        <f t="shared" si="157"/>
        <v>3086981.55</v>
      </c>
      <c r="AF393" s="85">
        <f t="shared" si="158"/>
        <v>1963175.1300000001</v>
      </c>
      <c r="AG393" s="85">
        <f t="shared" si="159"/>
        <v>2037308.22</v>
      </c>
      <c r="AH393" s="85">
        <f t="shared" si="160"/>
        <v>1967016.96</v>
      </c>
      <c r="AI393" s="85">
        <f t="shared" si="161"/>
        <v>0</v>
      </c>
      <c r="AJ393" s="4" t="s">
        <v>319</v>
      </c>
      <c r="AK393" s="4">
        <v>6611</v>
      </c>
      <c r="AL393" s="4">
        <v>7707</v>
      </c>
      <c r="AM393" s="4">
        <v>8414</v>
      </c>
      <c r="AO393" s="103"/>
      <c r="AP393" s="103"/>
      <c r="AQ393" s="103"/>
      <c r="AR393" s="103"/>
      <c r="AS393" s="103"/>
      <c r="AT393" s="103"/>
    </row>
    <row r="394" spans="1:46">
      <c r="A394" s="12"/>
      <c r="B394" s="13">
        <f t="shared" si="162"/>
        <v>2021</v>
      </c>
      <c r="C394" s="83">
        <f t="shared" si="164"/>
        <v>946080</v>
      </c>
      <c r="D394" s="83">
        <f t="shared" si="165"/>
        <v>3303000</v>
      </c>
      <c r="E394" s="83">
        <f t="shared" si="166"/>
        <v>2092980</v>
      </c>
      <c r="F394" s="83">
        <f t="shared" si="167"/>
        <v>2180580</v>
      </c>
      <c r="G394" s="83">
        <f t="shared" si="168"/>
        <v>2097000</v>
      </c>
      <c r="H394" s="84">
        <f t="shared" si="163"/>
        <v>0</v>
      </c>
      <c r="J394" s="12"/>
      <c r="K394" s="13">
        <f t="shared" si="141"/>
        <v>2021</v>
      </c>
      <c r="L394" s="83">
        <f t="shared" si="142"/>
        <v>41059.872000000003</v>
      </c>
      <c r="M394" s="83">
        <f t="shared" si="143"/>
        <v>143350.20000000001</v>
      </c>
      <c r="N394" s="83">
        <f t="shared" si="144"/>
        <v>90835.332000000009</v>
      </c>
      <c r="O394" s="83">
        <f t="shared" si="145"/>
        <v>94637.172000000006</v>
      </c>
      <c r="P394" s="83">
        <f t="shared" si="146"/>
        <v>91009.8</v>
      </c>
      <c r="Q394" s="83">
        <f t="shared" si="147"/>
        <v>0</v>
      </c>
      <c r="S394" s="12"/>
      <c r="T394" s="13">
        <f t="shared" si="148"/>
        <v>2021</v>
      </c>
      <c r="U394" s="83">
        <f t="shared" si="149"/>
        <v>7568.64</v>
      </c>
      <c r="V394" s="83">
        <f t="shared" si="150"/>
        <v>26424</v>
      </c>
      <c r="W394" s="83">
        <f t="shared" si="151"/>
        <v>16743.84</v>
      </c>
      <c r="X394" s="83">
        <f t="shared" si="152"/>
        <v>17444.64</v>
      </c>
      <c r="Y394" s="83">
        <f t="shared" si="153"/>
        <v>16776</v>
      </c>
      <c r="Z394" s="83">
        <f t="shared" si="154"/>
        <v>0</v>
      </c>
      <c r="AB394" s="12"/>
      <c r="AC394" s="13">
        <f t="shared" si="155"/>
        <v>2021</v>
      </c>
      <c r="AD394" s="85">
        <f t="shared" si="156"/>
        <v>897451.48800000001</v>
      </c>
      <c r="AE394" s="85">
        <f t="shared" si="157"/>
        <v>3133225.8</v>
      </c>
      <c r="AF394" s="85">
        <f t="shared" si="158"/>
        <v>1985400.828</v>
      </c>
      <c r="AG394" s="85">
        <f t="shared" si="159"/>
        <v>2068498.1880000001</v>
      </c>
      <c r="AH394" s="85">
        <f t="shared" si="160"/>
        <v>1989214.2</v>
      </c>
      <c r="AI394" s="85">
        <f t="shared" si="161"/>
        <v>0</v>
      </c>
      <c r="AJ394" s="4" t="s">
        <v>320</v>
      </c>
      <c r="AK394" s="4">
        <v>6522</v>
      </c>
      <c r="AL394" s="4">
        <v>7302</v>
      </c>
      <c r="AM394" s="4">
        <v>7889</v>
      </c>
      <c r="AO394" s="103"/>
      <c r="AP394" s="103"/>
      <c r="AQ394" s="103"/>
      <c r="AR394" s="103"/>
      <c r="AS394" s="103"/>
      <c r="AT394" s="103"/>
    </row>
    <row r="395" spans="1:46">
      <c r="A395" s="12"/>
      <c r="B395" s="13">
        <f t="shared" si="162"/>
        <v>2022</v>
      </c>
      <c r="C395" s="83">
        <f t="shared" si="164"/>
        <v>959910</v>
      </c>
      <c r="D395" s="83">
        <f t="shared" si="165"/>
        <v>3351750</v>
      </c>
      <c r="E395" s="83">
        <f t="shared" si="166"/>
        <v>2116410</v>
      </c>
      <c r="F395" s="83">
        <f t="shared" si="167"/>
        <v>2213460</v>
      </c>
      <c r="G395" s="83">
        <f t="shared" si="168"/>
        <v>2120400</v>
      </c>
      <c r="H395" s="84">
        <f t="shared" si="163"/>
        <v>0</v>
      </c>
      <c r="J395" s="12"/>
      <c r="K395" s="13">
        <f t="shared" si="141"/>
        <v>2022</v>
      </c>
      <c r="L395" s="83">
        <f t="shared" si="142"/>
        <v>41660.094000000005</v>
      </c>
      <c r="M395" s="83">
        <f t="shared" si="143"/>
        <v>145465.95000000001</v>
      </c>
      <c r="N395" s="83">
        <f t="shared" si="144"/>
        <v>91852.194000000003</v>
      </c>
      <c r="O395" s="83">
        <f t="shared" si="145"/>
        <v>96064.164000000004</v>
      </c>
      <c r="P395" s="83">
        <f t="shared" si="146"/>
        <v>92025.36</v>
      </c>
      <c r="Q395" s="83">
        <f t="shared" si="147"/>
        <v>0</v>
      </c>
      <c r="S395" s="12"/>
      <c r="T395" s="13">
        <f t="shared" si="148"/>
        <v>2022</v>
      </c>
      <c r="U395" s="83">
        <f t="shared" si="149"/>
        <v>7679.28</v>
      </c>
      <c r="V395" s="83">
        <f t="shared" si="150"/>
        <v>26814</v>
      </c>
      <c r="W395" s="83">
        <f t="shared" si="151"/>
        <v>16931.28</v>
      </c>
      <c r="X395" s="83">
        <f t="shared" si="152"/>
        <v>17707.68</v>
      </c>
      <c r="Y395" s="83">
        <f t="shared" si="153"/>
        <v>16963.2</v>
      </c>
      <c r="Z395" s="83">
        <f t="shared" si="154"/>
        <v>0</v>
      </c>
      <c r="AB395" s="12"/>
      <c r="AC395" s="13">
        <f t="shared" si="155"/>
        <v>2022</v>
      </c>
      <c r="AD395" s="85">
        <f t="shared" si="156"/>
        <v>910570.62599999993</v>
      </c>
      <c r="AE395" s="85">
        <f t="shared" si="157"/>
        <v>3179470.05</v>
      </c>
      <c r="AF395" s="85">
        <f t="shared" si="158"/>
        <v>2007626.5260000001</v>
      </c>
      <c r="AG395" s="85">
        <f t="shared" si="159"/>
        <v>2099688.156</v>
      </c>
      <c r="AH395" s="85">
        <f t="shared" si="160"/>
        <v>2011411.44</v>
      </c>
      <c r="AI395" s="85">
        <f t="shared" si="161"/>
        <v>0</v>
      </c>
      <c r="AJ395" s="4" t="s">
        <v>321</v>
      </c>
      <c r="AM395" s="4">
        <v>3212</v>
      </c>
      <c r="AO395" s="103"/>
      <c r="AP395" s="103"/>
      <c r="AQ395" s="103"/>
      <c r="AR395" s="103"/>
      <c r="AS395" s="103"/>
      <c r="AT395" s="103"/>
    </row>
    <row r="396" spans="1:46">
      <c r="A396" s="12"/>
      <c r="B396" s="13">
        <f t="shared" si="162"/>
        <v>2023</v>
      </c>
      <c r="C396" s="83">
        <f t="shared" si="164"/>
        <v>973740</v>
      </c>
      <c r="D396" s="83">
        <f t="shared" si="165"/>
        <v>3400500</v>
      </c>
      <c r="E396" s="83">
        <f t="shared" si="166"/>
        <v>2139840</v>
      </c>
      <c r="F396" s="83">
        <f t="shared" si="167"/>
        <v>2246340</v>
      </c>
      <c r="G396" s="83">
        <f t="shared" si="168"/>
        <v>2143800</v>
      </c>
      <c r="H396" s="84">
        <f t="shared" si="163"/>
        <v>0</v>
      </c>
      <c r="J396" s="12"/>
      <c r="K396" s="13">
        <f t="shared" si="141"/>
        <v>2023</v>
      </c>
      <c r="L396" s="83">
        <f t="shared" si="142"/>
        <v>42260.315999999999</v>
      </c>
      <c r="M396" s="83">
        <f t="shared" si="143"/>
        <v>147581.70000000001</v>
      </c>
      <c r="N396" s="83">
        <f t="shared" si="144"/>
        <v>92869.055999999997</v>
      </c>
      <c r="O396" s="83">
        <f t="shared" si="145"/>
        <v>97491.156000000003</v>
      </c>
      <c r="P396" s="83">
        <f t="shared" si="146"/>
        <v>93040.92</v>
      </c>
      <c r="Q396" s="83">
        <f t="shared" si="147"/>
        <v>0</v>
      </c>
      <c r="S396" s="12"/>
      <c r="T396" s="13">
        <f t="shared" si="148"/>
        <v>2023</v>
      </c>
      <c r="U396" s="83">
        <f t="shared" si="149"/>
        <v>7789.92</v>
      </c>
      <c r="V396" s="83">
        <f t="shared" si="150"/>
        <v>27204</v>
      </c>
      <c r="W396" s="83">
        <f t="shared" si="151"/>
        <v>17118.72</v>
      </c>
      <c r="X396" s="83">
        <f t="shared" si="152"/>
        <v>17970.72</v>
      </c>
      <c r="Y396" s="83">
        <f t="shared" si="153"/>
        <v>17150.400000000001</v>
      </c>
      <c r="Z396" s="83">
        <f t="shared" si="154"/>
        <v>0</v>
      </c>
      <c r="AB396" s="12"/>
      <c r="AC396" s="13">
        <f t="shared" si="155"/>
        <v>2023</v>
      </c>
      <c r="AD396" s="85">
        <f t="shared" si="156"/>
        <v>923689.76399999997</v>
      </c>
      <c r="AE396" s="85">
        <f t="shared" si="157"/>
        <v>3225714.3</v>
      </c>
      <c r="AF396" s="85">
        <f t="shared" si="158"/>
        <v>2029852.2239999999</v>
      </c>
      <c r="AG396" s="85">
        <f t="shared" si="159"/>
        <v>2130878.1239999998</v>
      </c>
      <c r="AH396" s="85">
        <f t="shared" si="160"/>
        <v>2033608.6800000002</v>
      </c>
      <c r="AI396" s="85">
        <f t="shared" si="161"/>
        <v>0</v>
      </c>
      <c r="AO396" s="103"/>
      <c r="AP396" s="103"/>
      <c r="AQ396" s="103"/>
      <c r="AR396" s="103"/>
      <c r="AS396" s="103"/>
      <c r="AT396" s="103"/>
    </row>
    <row r="397" spans="1:46">
      <c r="A397" s="12"/>
      <c r="B397" s="13">
        <f t="shared" si="162"/>
        <v>2024</v>
      </c>
      <c r="C397" s="83">
        <f t="shared" si="164"/>
        <v>987570</v>
      </c>
      <c r="D397" s="83">
        <f t="shared" si="165"/>
        <v>3449250</v>
      </c>
      <c r="E397" s="83">
        <f t="shared" si="166"/>
        <v>2163270</v>
      </c>
      <c r="F397" s="83">
        <f t="shared" si="167"/>
        <v>2279220</v>
      </c>
      <c r="G397" s="83">
        <f t="shared" si="168"/>
        <v>2167200</v>
      </c>
      <c r="H397" s="84">
        <f t="shared" si="163"/>
        <v>0</v>
      </c>
      <c r="J397" s="12"/>
      <c r="K397" s="13">
        <f t="shared" si="141"/>
        <v>2024</v>
      </c>
      <c r="L397" s="83">
        <f t="shared" si="142"/>
        <v>42860.538</v>
      </c>
      <c r="M397" s="83">
        <f t="shared" si="143"/>
        <v>149697.45000000001</v>
      </c>
      <c r="N397" s="83">
        <f t="shared" si="144"/>
        <v>93885.918000000005</v>
      </c>
      <c r="O397" s="83">
        <f t="shared" si="145"/>
        <v>98918.148000000001</v>
      </c>
      <c r="P397" s="83">
        <f t="shared" si="146"/>
        <v>94056.48</v>
      </c>
      <c r="Q397" s="83">
        <f t="shared" si="147"/>
        <v>0</v>
      </c>
      <c r="S397" s="12"/>
      <c r="T397" s="13">
        <f t="shared" si="148"/>
        <v>2024</v>
      </c>
      <c r="U397" s="83">
        <f t="shared" si="149"/>
        <v>7900.56</v>
      </c>
      <c r="V397" s="83">
        <f t="shared" si="150"/>
        <v>27594</v>
      </c>
      <c r="W397" s="83">
        <f t="shared" si="151"/>
        <v>17306.16</v>
      </c>
      <c r="X397" s="83">
        <f t="shared" si="152"/>
        <v>18233.760000000002</v>
      </c>
      <c r="Y397" s="83">
        <f t="shared" si="153"/>
        <v>17337.599999999999</v>
      </c>
      <c r="Z397" s="83">
        <f t="shared" si="154"/>
        <v>0</v>
      </c>
      <c r="AB397" s="12"/>
      <c r="AC397" s="13">
        <f t="shared" si="155"/>
        <v>2024</v>
      </c>
      <c r="AD397" s="85">
        <f t="shared" si="156"/>
        <v>936808.902</v>
      </c>
      <c r="AE397" s="85">
        <f t="shared" si="157"/>
        <v>3271958.55</v>
      </c>
      <c r="AF397" s="85">
        <f t="shared" si="158"/>
        <v>2052077.922</v>
      </c>
      <c r="AG397" s="85">
        <f t="shared" si="159"/>
        <v>2162068.0920000002</v>
      </c>
      <c r="AH397" s="85">
        <f t="shared" si="160"/>
        <v>2055805.92</v>
      </c>
      <c r="AI397" s="85">
        <f t="shared" si="161"/>
        <v>0</v>
      </c>
      <c r="AO397" s="103"/>
      <c r="AP397" s="103"/>
      <c r="AQ397" s="103"/>
      <c r="AR397" s="103"/>
      <c r="AS397" s="103"/>
      <c r="AT397" s="103"/>
    </row>
    <row r="398" spans="1:46">
      <c r="A398" s="12"/>
      <c r="B398" s="13">
        <f t="shared" si="162"/>
        <v>2025</v>
      </c>
      <c r="C398" s="83">
        <f>AL390*300</f>
        <v>1001400</v>
      </c>
      <c r="D398" s="84">
        <f>AL391*300</f>
        <v>3498000</v>
      </c>
      <c r="E398" s="84">
        <f>AL392*300</f>
        <v>2186700</v>
      </c>
      <c r="F398" s="84">
        <f>AL393*300</f>
        <v>2312100</v>
      </c>
      <c r="G398" s="84">
        <f>AL394*300</f>
        <v>2190600</v>
      </c>
      <c r="H398" s="84">
        <f t="shared" si="163"/>
        <v>0</v>
      </c>
      <c r="J398" s="12"/>
      <c r="K398" s="13">
        <f t="shared" si="141"/>
        <v>2025</v>
      </c>
      <c r="L398" s="83">
        <f t="shared" ref="L398:L412" si="169">C398*0.0496</f>
        <v>49669.439999999995</v>
      </c>
      <c r="M398" s="83">
        <f t="shared" ref="M398:M412" si="170">D398*0.0496</f>
        <v>173500.79999999999</v>
      </c>
      <c r="N398" s="83">
        <f t="shared" ref="N398:N412" si="171">E398*0.0496</f>
        <v>108460.31999999999</v>
      </c>
      <c r="O398" s="83">
        <f t="shared" ref="O398:O412" si="172">F398*0.0496</f>
        <v>114680.15999999999</v>
      </c>
      <c r="P398" s="83">
        <f t="shared" ref="P398:P412" si="173">G398*0.0496</f>
        <v>108653.75999999999</v>
      </c>
      <c r="Q398" s="83">
        <f t="shared" ref="Q398:Q412" si="174">H398*0.0496</f>
        <v>0</v>
      </c>
      <c r="S398" s="12"/>
      <c r="T398" s="13">
        <f t="shared" si="148"/>
        <v>2025</v>
      </c>
      <c r="U398" s="83">
        <f t="shared" ref="U398:U412" si="175">C398*0.01</f>
        <v>10014</v>
      </c>
      <c r="V398" s="83">
        <f t="shared" ref="V398:V412" si="176">D398*0.01</f>
        <v>34980</v>
      </c>
      <c r="W398" s="83">
        <f t="shared" ref="W398:W412" si="177">E398*0.01</f>
        <v>21867</v>
      </c>
      <c r="X398" s="83">
        <f t="shared" ref="X398:X412" si="178">F398*0.01</f>
        <v>23121</v>
      </c>
      <c r="Y398" s="83">
        <f t="shared" ref="Y398:Y412" si="179">G398*0.01</f>
        <v>21906</v>
      </c>
      <c r="Z398" s="83">
        <f>H398*0.01</f>
        <v>0</v>
      </c>
      <c r="AB398" s="12"/>
      <c r="AC398" s="13">
        <f t="shared" si="155"/>
        <v>2025</v>
      </c>
      <c r="AD398" s="85">
        <f t="shared" si="156"/>
        <v>941716.56</v>
      </c>
      <c r="AE398" s="85">
        <f t="shared" si="157"/>
        <v>3289519.2</v>
      </c>
      <c r="AF398" s="85">
        <f t="shared" si="158"/>
        <v>2056372.68</v>
      </c>
      <c r="AG398" s="85">
        <f t="shared" si="159"/>
        <v>2174298.84</v>
      </c>
      <c r="AH398" s="85">
        <f t="shared" si="160"/>
        <v>2060040.24</v>
      </c>
      <c r="AI398" s="85">
        <f t="shared" si="161"/>
        <v>0</v>
      </c>
      <c r="AO398" s="103"/>
      <c r="AP398" s="103"/>
      <c r="AQ398" s="103"/>
      <c r="AR398" s="103"/>
      <c r="AS398" s="103"/>
      <c r="AT398" s="103"/>
    </row>
    <row r="399" spans="1:46">
      <c r="A399" s="12"/>
      <c r="B399" s="13">
        <f t="shared" si="162"/>
        <v>2026</v>
      </c>
      <c r="C399" s="83">
        <f>$C$398+(($C$413-$C$398)/($B$413-$B$398))*(B399-$B$398)</f>
        <v>1008740</v>
      </c>
      <c r="D399" s="83">
        <f>$D$398+(($D$413-$D$398)/($B$413-$B$398))*(B399-$B$398)</f>
        <v>3519200</v>
      </c>
      <c r="E399" s="83">
        <f>$E$398+(($E$413-$E$398)/($B$413-$B$398))*(B399-$B$398)</f>
        <v>2198360</v>
      </c>
      <c r="F399" s="83">
        <f>$F$398+(($F$413-$F$398)/($B$413-$B$398))*(B399-$B$398)</f>
        <v>2326240</v>
      </c>
      <c r="G399" s="83">
        <f>$G$398+(($G$413-$G$398)/($B$413-$B$398))*(B399-$B$398)</f>
        <v>2202340</v>
      </c>
      <c r="H399" s="84">
        <f t="shared" si="163"/>
        <v>0</v>
      </c>
      <c r="J399" s="12"/>
      <c r="K399" s="13">
        <f t="shared" si="141"/>
        <v>2026</v>
      </c>
      <c r="L399" s="83">
        <f t="shared" si="169"/>
        <v>50033.504000000001</v>
      </c>
      <c r="M399" s="83">
        <f t="shared" si="170"/>
        <v>174552.32000000001</v>
      </c>
      <c r="N399" s="83">
        <f t="shared" si="171"/>
        <v>109038.656</v>
      </c>
      <c r="O399" s="83">
        <f t="shared" si="172"/>
        <v>115381.504</v>
      </c>
      <c r="P399" s="83">
        <f t="shared" si="173"/>
        <v>109236.064</v>
      </c>
      <c r="Q399" s="83">
        <f t="shared" si="174"/>
        <v>0</v>
      </c>
      <c r="S399" s="12"/>
      <c r="T399" s="13">
        <f t="shared" si="148"/>
        <v>2026</v>
      </c>
      <c r="U399" s="83">
        <f t="shared" si="175"/>
        <v>10087.4</v>
      </c>
      <c r="V399" s="83">
        <f t="shared" si="176"/>
        <v>35192</v>
      </c>
      <c r="W399" s="83">
        <f t="shared" si="177"/>
        <v>21983.600000000002</v>
      </c>
      <c r="X399" s="83">
        <f t="shared" si="178"/>
        <v>23262.400000000001</v>
      </c>
      <c r="Y399" s="83">
        <f t="shared" si="179"/>
        <v>22023.4</v>
      </c>
      <c r="Z399" s="83">
        <f>H399-Q399</f>
        <v>0</v>
      </c>
      <c r="AB399" s="12"/>
      <c r="AC399" s="13">
        <f t="shared" si="155"/>
        <v>2026</v>
      </c>
      <c r="AD399" s="85">
        <f t="shared" ref="AD399:AD417" si="180">C399-L399-U399</f>
        <v>948619.09600000002</v>
      </c>
      <c r="AE399" s="85">
        <f t="shared" ref="AE399:AE417" si="181">D399-M399-V399</f>
        <v>3309455.68</v>
      </c>
      <c r="AF399" s="85">
        <f t="shared" ref="AF399:AF417" si="182">E399-N399-W399</f>
        <v>2067337.7439999999</v>
      </c>
      <c r="AG399" s="85">
        <f t="shared" ref="AG399:AG417" si="183">F399-O399-X399</f>
        <v>2187596.0959999999</v>
      </c>
      <c r="AH399" s="85">
        <f t="shared" ref="AH399:AH417" si="184">G399-P399-Y399</f>
        <v>2071080.5360000001</v>
      </c>
      <c r="AI399" s="85">
        <v>0</v>
      </c>
      <c r="AO399" s="103"/>
      <c r="AP399" s="103"/>
      <c r="AQ399" s="103"/>
      <c r="AR399" s="103"/>
      <c r="AS399" s="103"/>
      <c r="AT399" s="103"/>
    </row>
    <row r="400" spans="1:46">
      <c r="A400" s="12"/>
      <c r="B400" s="13">
        <f t="shared" si="162"/>
        <v>2027</v>
      </c>
      <c r="C400" s="83">
        <f t="shared" ref="C400:C417" si="185">$C$398+(($C$413-$C$398)/($B$413-$B$398))*(B400-$B$398)</f>
        <v>1016080</v>
      </c>
      <c r="D400" s="83">
        <f t="shared" ref="D400:D412" si="186">$D$398+(($D$413-$D$398)/($B$413-$B$398))*(B400-$B$398)</f>
        <v>3540400</v>
      </c>
      <c r="E400" s="83">
        <f t="shared" ref="E400:E412" si="187">$E$398+(($E$413-$E$398)/($B$413-$B$398))*(B400-$B$398)</f>
        <v>2210020</v>
      </c>
      <c r="F400" s="83">
        <f t="shared" ref="F400:F412" si="188">$F$398+(($F$413-$F$398)/($B$413-$B$398))*(B400-$B$398)</f>
        <v>2340380</v>
      </c>
      <c r="G400" s="83">
        <f t="shared" ref="G400:G412" si="189">$G$398+(($G$413-$G$398)/($B$413-$B$398))*(B400-$B$398)</f>
        <v>2214080</v>
      </c>
      <c r="H400" s="84">
        <f t="shared" si="163"/>
        <v>0</v>
      </c>
      <c r="J400" s="12"/>
      <c r="K400" s="13">
        <f t="shared" si="141"/>
        <v>2027</v>
      </c>
      <c r="L400" s="83">
        <f t="shared" si="169"/>
        <v>50397.567999999999</v>
      </c>
      <c r="M400" s="83">
        <f t="shared" si="170"/>
        <v>175603.84</v>
      </c>
      <c r="N400" s="83">
        <f t="shared" si="171"/>
        <v>109616.992</v>
      </c>
      <c r="O400" s="83">
        <f t="shared" si="172"/>
        <v>116082.848</v>
      </c>
      <c r="P400" s="83">
        <f t="shared" si="173"/>
        <v>109818.368</v>
      </c>
      <c r="Q400" s="83">
        <f t="shared" si="174"/>
        <v>0</v>
      </c>
      <c r="S400" s="12"/>
      <c r="T400" s="13">
        <f t="shared" si="148"/>
        <v>2027</v>
      </c>
      <c r="U400" s="83">
        <f t="shared" si="175"/>
        <v>10160.800000000001</v>
      </c>
      <c r="V400" s="83">
        <f t="shared" si="176"/>
        <v>35404</v>
      </c>
      <c r="W400" s="83">
        <f t="shared" si="177"/>
        <v>22100.2</v>
      </c>
      <c r="X400" s="83">
        <f t="shared" si="178"/>
        <v>23403.8</v>
      </c>
      <c r="Y400" s="83">
        <f t="shared" si="179"/>
        <v>22140.799999999999</v>
      </c>
      <c r="Z400" s="83">
        <f t="shared" ref="Z400:Z417" si="190">H400-Q400</f>
        <v>0</v>
      </c>
      <c r="AB400" s="12"/>
      <c r="AC400" s="13">
        <f t="shared" si="155"/>
        <v>2027</v>
      </c>
      <c r="AD400" s="85">
        <f t="shared" si="180"/>
        <v>955521.63199999998</v>
      </c>
      <c r="AE400" s="85">
        <f t="shared" si="181"/>
        <v>3329392.16</v>
      </c>
      <c r="AF400" s="85">
        <f t="shared" si="182"/>
        <v>2078302.808</v>
      </c>
      <c r="AG400" s="85">
        <f t="shared" si="183"/>
        <v>2200893.352</v>
      </c>
      <c r="AH400" s="85">
        <f t="shared" si="184"/>
        <v>2082120.8320000002</v>
      </c>
      <c r="AI400" s="85">
        <v>0</v>
      </c>
      <c r="AO400" s="103"/>
      <c r="AP400" s="103"/>
      <c r="AQ400" s="103"/>
      <c r="AR400" s="103"/>
      <c r="AS400" s="103"/>
      <c r="AT400" s="103"/>
    </row>
    <row r="401" spans="1:46">
      <c r="A401" s="12"/>
      <c r="B401" s="13">
        <f t="shared" si="162"/>
        <v>2028</v>
      </c>
      <c r="C401" s="83">
        <f t="shared" si="185"/>
        <v>1023420</v>
      </c>
      <c r="D401" s="83">
        <f t="shared" si="186"/>
        <v>3561600</v>
      </c>
      <c r="E401" s="83">
        <f t="shared" si="187"/>
        <v>2221680</v>
      </c>
      <c r="F401" s="83">
        <f t="shared" si="188"/>
        <v>2354520</v>
      </c>
      <c r="G401" s="83">
        <f t="shared" si="189"/>
        <v>2225820</v>
      </c>
      <c r="H401" s="84">
        <f t="shared" si="163"/>
        <v>0</v>
      </c>
      <c r="J401" s="12"/>
      <c r="K401" s="13">
        <f t="shared" si="141"/>
        <v>2028</v>
      </c>
      <c r="L401" s="83">
        <f t="shared" si="169"/>
        <v>50761.631999999998</v>
      </c>
      <c r="M401" s="83">
        <f t="shared" si="170"/>
        <v>176655.35999999999</v>
      </c>
      <c r="N401" s="83">
        <f t="shared" si="171"/>
        <v>110195.32799999999</v>
      </c>
      <c r="O401" s="83">
        <f t="shared" si="172"/>
        <v>116784.192</v>
      </c>
      <c r="P401" s="83">
        <f t="shared" si="173"/>
        <v>110400.67199999999</v>
      </c>
      <c r="Q401" s="83">
        <f t="shared" si="174"/>
        <v>0</v>
      </c>
      <c r="S401" s="12"/>
      <c r="T401" s="13">
        <f t="shared" si="148"/>
        <v>2028</v>
      </c>
      <c r="U401" s="83">
        <f t="shared" si="175"/>
        <v>10234.200000000001</v>
      </c>
      <c r="V401" s="83">
        <f t="shared" si="176"/>
        <v>35616</v>
      </c>
      <c r="W401" s="83">
        <f t="shared" si="177"/>
        <v>22216.799999999999</v>
      </c>
      <c r="X401" s="83">
        <f t="shared" si="178"/>
        <v>23545.200000000001</v>
      </c>
      <c r="Y401" s="83">
        <f t="shared" si="179"/>
        <v>22258.2</v>
      </c>
      <c r="Z401" s="83">
        <f t="shared" si="190"/>
        <v>0</v>
      </c>
      <c r="AB401" s="12"/>
      <c r="AC401" s="13">
        <f t="shared" si="155"/>
        <v>2028</v>
      </c>
      <c r="AD401" s="85">
        <f t="shared" si="180"/>
        <v>962424.16800000006</v>
      </c>
      <c r="AE401" s="85">
        <f t="shared" si="181"/>
        <v>3349328.64</v>
      </c>
      <c r="AF401" s="85">
        <f t="shared" si="182"/>
        <v>2089267.8719999997</v>
      </c>
      <c r="AG401" s="85">
        <f t="shared" si="183"/>
        <v>2214190.608</v>
      </c>
      <c r="AH401" s="85">
        <f t="shared" si="184"/>
        <v>2093161.1280000003</v>
      </c>
      <c r="AI401" s="85">
        <v>0</v>
      </c>
      <c r="AO401" s="103"/>
      <c r="AP401" s="103"/>
      <c r="AQ401" s="103"/>
      <c r="AR401" s="103"/>
      <c r="AS401" s="103"/>
      <c r="AT401" s="103"/>
    </row>
    <row r="402" spans="1:46">
      <c r="A402" s="12"/>
      <c r="B402" s="13">
        <f t="shared" si="162"/>
        <v>2029</v>
      </c>
      <c r="C402" s="83">
        <f t="shared" si="185"/>
        <v>1030760</v>
      </c>
      <c r="D402" s="83">
        <f t="shared" si="186"/>
        <v>3582800</v>
      </c>
      <c r="E402" s="83">
        <f t="shared" si="187"/>
        <v>2233340</v>
      </c>
      <c r="F402" s="83">
        <f t="shared" si="188"/>
        <v>2368660</v>
      </c>
      <c r="G402" s="83">
        <f t="shared" si="189"/>
        <v>2237560</v>
      </c>
      <c r="H402" s="84">
        <f t="shared" si="163"/>
        <v>0</v>
      </c>
      <c r="J402" s="12"/>
      <c r="K402" s="13">
        <f t="shared" si="141"/>
        <v>2029</v>
      </c>
      <c r="L402" s="83">
        <f t="shared" si="169"/>
        <v>51125.695999999996</v>
      </c>
      <c r="M402" s="83">
        <f t="shared" si="170"/>
        <v>177706.88</v>
      </c>
      <c r="N402" s="83">
        <f t="shared" si="171"/>
        <v>110773.66399999999</v>
      </c>
      <c r="O402" s="83">
        <f t="shared" si="172"/>
        <v>117485.53599999999</v>
      </c>
      <c r="P402" s="83">
        <f t="shared" si="173"/>
        <v>110982.976</v>
      </c>
      <c r="Q402" s="83">
        <f t="shared" si="174"/>
        <v>0</v>
      </c>
      <c r="S402" s="12"/>
      <c r="T402" s="13">
        <f t="shared" si="148"/>
        <v>2029</v>
      </c>
      <c r="U402" s="83">
        <f t="shared" si="175"/>
        <v>10307.6</v>
      </c>
      <c r="V402" s="83">
        <f t="shared" si="176"/>
        <v>35828</v>
      </c>
      <c r="W402" s="83">
        <f t="shared" si="177"/>
        <v>22333.4</v>
      </c>
      <c r="X402" s="83">
        <f t="shared" si="178"/>
        <v>23686.600000000002</v>
      </c>
      <c r="Y402" s="83">
        <f t="shared" si="179"/>
        <v>22375.600000000002</v>
      </c>
      <c r="Z402" s="83">
        <f t="shared" si="190"/>
        <v>0</v>
      </c>
      <c r="AB402" s="12"/>
      <c r="AC402" s="13">
        <f t="shared" si="155"/>
        <v>2029</v>
      </c>
      <c r="AD402" s="85">
        <f t="shared" si="180"/>
        <v>969326.70400000003</v>
      </c>
      <c r="AE402" s="85">
        <f t="shared" si="181"/>
        <v>3369265.12</v>
      </c>
      <c r="AF402" s="85">
        <f t="shared" si="182"/>
        <v>2100232.9360000002</v>
      </c>
      <c r="AG402" s="85">
        <f t="shared" si="183"/>
        <v>2227487.8640000001</v>
      </c>
      <c r="AH402" s="85">
        <f t="shared" si="184"/>
        <v>2104201.4240000001</v>
      </c>
      <c r="AI402" s="85">
        <v>0</v>
      </c>
      <c r="AO402" s="103"/>
      <c r="AP402" s="103"/>
      <c r="AQ402" s="103"/>
      <c r="AR402" s="103"/>
      <c r="AS402" s="103"/>
      <c r="AT402" s="103"/>
    </row>
    <row r="403" spans="1:46">
      <c r="A403" s="12"/>
      <c r="B403" s="13">
        <f t="shared" si="162"/>
        <v>2030</v>
      </c>
      <c r="C403" s="83">
        <f t="shared" si="185"/>
        <v>1038100</v>
      </c>
      <c r="D403" s="83">
        <f t="shared" si="186"/>
        <v>3604000</v>
      </c>
      <c r="E403" s="83">
        <f t="shared" si="187"/>
        <v>2245000</v>
      </c>
      <c r="F403" s="83">
        <f t="shared" si="188"/>
        <v>2382800</v>
      </c>
      <c r="G403" s="83">
        <f t="shared" si="189"/>
        <v>2249300</v>
      </c>
      <c r="H403" s="84">
        <f t="shared" si="163"/>
        <v>0</v>
      </c>
      <c r="J403" s="12"/>
      <c r="K403" s="13">
        <f t="shared" si="141"/>
        <v>2030</v>
      </c>
      <c r="L403" s="83">
        <f t="shared" si="169"/>
        <v>51489.759999999995</v>
      </c>
      <c r="M403" s="83">
        <f t="shared" si="170"/>
        <v>178758.39999999999</v>
      </c>
      <c r="N403" s="83">
        <f t="shared" si="171"/>
        <v>111352</v>
      </c>
      <c r="O403" s="83">
        <f t="shared" si="172"/>
        <v>118186.87999999999</v>
      </c>
      <c r="P403" s="83">
        <f t="shared" si="173"/>
        <v>111565.28</v>
      </c>
      <c r="Q403" s="83">
        <f t="shared" si="174"/>
        <v>0</v>
      </c>
      <c r="S403" s="12"/>
      <c r="T403" s="13">
        <f t="shared" si="148"/>
        <v>2030</v>
      </c>
      <c r="U403" s="83">
        <f t="shared" si="175"/>
        <v>10381</v>
      </c>
      <c r="V403" s="83">
        <f t="shared" si="176"/>
        <v>36040</v>
      </c>
      <c r="W403" s="83">
        <f t="shared" si="177"/>
        <v>22450</v>
      </c>
      <c r="X403" s="83">
        <f t="shared" si="178"/>
        <v>23828</v>
      </c>
      <c r="Y403" s="83">
        <f t="shared" si="179"/>
        <v>22493</v>
      </c>
      <c r="Z403" s="83">
        <f t="shared" si="190"/>
        <v>0</v>
      </c>
      <c r="AB403" s="12"/>
      <c r="AC403" s="13">
        <f t="shared" si="155"/>
        <v>2030</v>
      </c>
      <c r="AD403" s="85">
        <f t="shared" si="180"/>
        <v>976229.24</v>
      </c>
      <c r="AE403" s="85">
        <f t="shared" si="181"/>
        <v>3389201.6</v>
      </c>
      <c r="AF403" s="85">
        <f t="shared" si="182"/>
        <v>2111198</v>
      </c>
      <c r="AG403" s="85">
        <f t="shared" si="183"/>
        <v>2240785.12</v>
      </c>
      <c r="AH403" s="85">
        <f t="shared" si="184"/>
        <v>2115241.7200000002</v>
      </c>
      <c r="AI403" s="85">
        <v>0</v>
      </c>
      <c r="AO403" s="103"/>
      <c r="AP403" s="103"/>
      <c r="AQ403" s="103"/>
      <c r="AR403" s="103"/>
      <c r="AS403" s="103"/>
      <c r="AT403" s="103"/>
    </row>
    <row r="404" spans="1:46">
      <c r="A404" s="12"/>
      <c r="B404" s="13">
        <f t="shared" si="162"/>
        <v>2031</v>
      </c>
      <c r="C404" s="83">
        <f t="shared" si="185"/>
        <v>1045440</v>
      </c>
      <c r="D404" s="83">
        <f t="shared" si="186"/>
        <v>3625200</v>
      </c>
      <c r="E404" s="83">
        <f t="shared" si="187"/>
        <v>2256660</v>
      </c>
      <c r="F404" s="83">
        <f t="shared" si="188"/>
        <v>2396940</v>
      </c>
      <c r="G404" s="83">
        <f t="shared" si="189"/>
        <v>2261040</v>
      </c>
      <c r="H404" s="84">
        <f t="shared" si="163"/>
        <v>0</v>
      </c>
      <c r="J404" s="12"/>
      <c r="K404" s="13">
        <f t="shared" si="141"/>
        <v>2031</v>
      </c>
      <c r="L404" s="83">
        <f t="shared" si="169"/>
        <v>51853.824000000001</v>
      </c>
      <c r="M404" s="83">
        <f t="shared" si="170"/>
        <v>179809.91999999998</v>
      </c>
      <c r="N404" s="83">
        <f t="shared" si="171"/>
        <v>111930.336</v>
      </c>
      <c r="O404" s="83">
        <f t="shared" si="172"/>
        <v>118888.224</v>
      </c>
      <c r="P404" s="83">
        <f t="shared" si="173"/>
        <v>112147.584</v>
      </c>
      <c r="Q404" s="83">
        <f t="shared" si="174"/>
        <v>0</v>
      </c>
      <c r="S404" s="12"/>
      <c r="T404" s="13">
        <f t="shared" si="148"/>
        <v>2031</v>
      </c>
      <c r="U404" s="83">
        <f t="shared" si="175"/>
        <v>10454.4</v>
      </c>
      <c r="V404" s="83">
        <f t="shared" si="176"/>
        <v>36252</v>
      </c>
      <c r="W404" s="83">
        <f t="shared" si="177"/>
        <v>22566.600000000002</v>
      </c>
      <c r="X404" s="83">
        <f t="shared" si="178"/>
        <v>23969.4</v>
      </c>
      <c r="Y404" s="83">
        <f t="shared" si="179"/>
        <v>22610.400000000001</v>
      </c>
      <c r="Z404" s="83">
        <f t="shared" si="190"/>
        <v>0</v>
      </c>
      <c r="AB404" s="12"/>
      <c r="AC404" s="13">
        <f t="shared" si="155"/>
        <v>2031</v>
      </c>
      <c r="AD404" s="85">
        <f t="shared" si="180"/>
        <v>983131.77599999995</v>
      </c>
      <c r="AE404" s="85">
        <f t="shared" si="181"/>
        <v>3409138.08</v>
      </c>
      <c r="AF404" s="85">
        <f t="shared" si="182"/>
        <v>2122163.0639999998</v>
      </c>
      <c r="AG404" s="85">
        <f t="shared" si="183"/>
        <v>2254082.3760000002</v>
      </c>
      <c r="AH404" s="85">
        <f t="shared" si="184"/>
        <v>2126282.0160000003</v>
      </c>
      <c r="AI404" s="85">
        <v>0</v>
      </c>
      <c r="AO404" s="103"/>
      <c r="AP404" s="103"/>
      <c r="AQ404" s="103"/>
      <c r="AR404" s="103"/>
      <c r="AS404" s="103"/>
      <c r="AT404" s="103"/>
    </row>
    <row r="405" spans="1:46">
      <c r="A405" s="12"/>
      <c r="B405" s="13">
        <f t="shared" si="162"/>
        <v>2032</v>
      </c>
      <c r="C405" s="83">
        <f t="shared" si="185"/>
        <v>1052780</v>
      </c>
      <c r="D405" s="83">
        <f t="shared" si="186"/>
        <v>3646400</v>
      </c>
      <c r="E405" s="83">
        <f t="shared" si="187"/>
        <v>2268320</v>
      </c>
      <c r="F405" s="83">
        <f t="shared" si="188"/>
        <v>2411080</v>
      </c>
      <c r="G405" s="83">
        <f t="shared" si="189"/>
        <v>2272780</v>
      </c>
      <c r="H405" s="84">
        <f t="shared" si="163"/>
        <v>0</v>
      </c>
      <c r="J405" s="12"/>
      <c r="K405" s="13">
        <f t="shared" si="141"/>
        <v>2032</v>
      </c>
      <c r="L405" s="83">
        <f t="shared" si="169"/>
        <v>52217.887999999999</v>
      </c>
      <c r="M405" s="83">
        <f t="shared" si="170"/>
        <v>180861.44</v>
      </c>
      <c r="N405" s="83">
        <f t="shared" si="171"/>
        <v>112508.67199999999</v>
      </c>
      <c r="O405" s="83">
        <f t="shared" si="172"/>
        <v>119589.568</v>
      </c>
      <c r="P405" s="83">
        <f t="shared" si="173"/>
        <v>112729.88799999999</v>
      </c>
      <c r="Q405" s="83">
        <f t="shared" si="174"/>
        <v>0</v>
      </c>
      <c r="S405" s="12"/>
      <c r="T405" s="13">
        <f t="shared" si="148"/>
        <v>2032</v>
      </c>
      <c r="U405" s="83">
        <f t="shared" si="175"/>
        <v>10527.800000000001</v>
      </c>
      <c r="V405" s="83">
        <f t="shared" si="176"/>
        <v>36464</v>
      </c>
      <c r="W405" s="83">
        <f t="shared" si="177"/>
        <v>22683.200000000001</v>
      </c>
      <c r="X405" s="83">
        <f t="shared" si="178"/>
        <v>24110.799999999999</v>
      </c>
      <c r="Y405" s="83">
        <f t="shared" si="179"/>
        <v>22727.8</v>
      </c>
      <c r="Z405" s="83">
        <f t="shared" si="190"/>
        <v>0</v>
      </c>
      <c r="AB405" s="12"/>
      <c r="AC405" s="13">
        <f t="shared" si="155"/>
        <v>2032</v>
      </c>
      <c r="AD405" s="85">
        <f t="shared" si="180"/>
        <v>990034.31199999992</v>
      </c>
      <c r="AE405" s="85">
        <f t="shared" si="181"/>
        <v>3429074.56</v>
      </c>
      <c r="AF405" s="85">
        <f t="shared" si="182"/>
        <v>2133128.128</v>
      </c>
      <c r="AG405" s="85">
        <f t="shared" si="183"/>
        <v>2267379.6320000002</v>
      </c>
      <c r="AH405" s="85">
        <f t="shared" si="184"/>
        <v>2137322.3120000004</v>
      </c>
      <c r="AI405" s="85">
        <v>0</v>
      </c>
      <c r="AO405" s="103"/>
      <c r="AP405" s="103"/>
      <c r="AQ405" s="103"/>
      <c r="AR405" s="103"/>
      <c r="AS405" s="103"/>
      <c r="AT405" s="103"/>
    </row>
    <row r="406" spans="1:46">
      <c r="A406" s="12"/>
      <c r="B406" s="13">
        <f t="shared" si="162"/>
        <v>2033</v>
      </c>
      <c r="C406" s="83">
        <f t="shared" si="185"/>
        <v>1060120</v>
      </c>
      <c r="D406" s="83">
        <f t="shared" si="186"/>
        <v>3667600</v>
      </c>
      <c r="E406" s="83">
        <f t="shared" si="187"/>
        <v>2279980</v>
      </c>
      <c r="F406" s="83">
        <f t="shared" si="188"/>
        <v>2425220</v>
      </c>
      <c r="G406" s="83">
        <f t="shared" si="189"/>
        <v>2284520</v>
      </c>
      <c r="H406" s="84">
        <f t="shared" si="163"/>
        <v>0</v>
      </c>
      <c r="J406" s="12"/>
      <c r="K406" s="13">
        <f t="shared" si="141"/>
        <v>2033</v>
      </c>
      <c r="L406" s="83">
        <f t="shared" si="169"/>
        <v>52581.951999999997</v>
      </c>
      <c r="M406" s="83">
        <f t="shared" si="170"/>
        <v>181912.95999999999</v>
      </c>
      <c r="N406" s="83">
        <f t="shared" si="171"/>
        <v>113087.008</v>
      </c>
      <c r="O406" s="83">
        <f t="shared" si="172"/>
        <v>120290.912</v>
      </c>
      <c r="P406" s="83">
        <f t="shared" si="173"/>
        <v>113312.192</v>
      </c>
      <c r="Q406" s="83">
        <f t="shared" si="174"/>
        <v>0</v>
      </c>
      <c r="S406" s="12"/>
      <c r="T406" s="13">
        <f t="shared" si="148"/>
        <v>2033</v>
      </c>
      <c r="U406" s="83">
        <f t="shared" si="175"/>
        <v>10601.2</v>
      </c>
      <c r="V406" s="83">
        <f t="shared" si="176"/>
        <v>36676</v>
      </c>
      <c r="W406" s="83">
        <f t="shared" si="177"/>
        <v>22799.8</v>
      </c>
      <c r="X406" s="83">
        <f t="shared" si="178"/>
        <v>24252.2</v>
      </c>
      <c r="Y406" s="83">
        <f t="shared" si="179"/>
        <v>22845.200000000001</v>
      </c>
      <c r="Z406" s="83">
        <f t="shared" si="190"/>
        <v>0</v>
      </c>
      <c r="AB406" s="12"/>
      <c r="AC406" s="13">
        <f t="shared" si="155"/>
        <v>2033</v>
      </c>
      <c r="AD406" s="85">
        <f t="shared" si="180"/>
        <v>996936.848</v>
      </c>
      <c r="AE406" s="85">
        <f t="shared" si="181"/>
        <v>3449011.04</v>
      </c>
      <c r="AF406" s="85">
        <f t="shared" si="182"/>
        <v>2144093.1920000003</v>
      </c>
      <c r="AG406" s="85">
        <f t="shared" si="183"/>
        <v>2280676.8879999998</v>
      </c>
      <c r="AH406" s="85">
        <f t="shared" si="184"/>
        <v>2148362.608</v>
      </c>
      <c r="AI406" s="85">
        <v>0</v>
      </c>
      <c r="AO406" s="103"/>
      <c r="AP406" s="103"/>
      <c r="AQ406" s="103"/>
      <c r="AR406" s="103"/>
      <c r="AS406" s="103"/>
      <c r="AT406" s="103"/>
    </row>
    <row r="407" spans="1:46">
      <c r="A407" s="12"/>
      <c r="B407" s="13">
        <f t="shared" si="162"/>
        <v>2034</v>
      </c>
      <c r="C407" s="83">
        <f t="shared" si="185"/>
        <v>1067460</v>
      </c>
      <c r="D407" s="83">
        <f t="shared" si="186"/>
        <v>3688800</v>
      </c>
      <c r="E407" s="83">
        <f t="shared" si="187"/>
        <v>2291640</v>
      </c>
      <c r="F407" s="83">
        <f t="shared" si="188"/>
        <v>2439360</v>
      </c>
      <c r="G407" s="83">
        <f t="shared" si="189"/>
        <v>2296260</v>
      </c>
      <c r="H407" s="84">
        <f t="shared" si="163"/>
        <v>0</v>
      </c>
      <c r="J407" s="12"/>
      <c r="K407" s="13">
        <f t="shared" si="141"/>
        <v>2034</v>
      </c>
      <c r="L407" s="83">
        <f t="shared" si="169"/>
        <v>52946.015999999996</v>
      </c>
      <c r="M407" s="83">
        <f t="shared" si="170"/>
        <v>182964.47999999998</v>
      </c>
      <c r="N407" s="83">
        <f t="shared" si="171"/>
        <v>113665.344</v>
      </c>
      <c r="O407" s="83">
        <f t="shared" si="172"/>
        <v>120992.25599999999</v>
      </c>
      <c r="P407" s="83">
        <f t="shared" si="173"/>
        <v>113894.496</v>
      </c>
      <c r="Q407" s="83">
        <f t="shared" si="174"/>
        <v>0</v>
      </c>
      <c r="S407" s="12"/>
      <c r="T407" s="13">
        <f t="shared" si="148"/>
        <v>2034</v>
      </c>
      <c r="U407" s="83">
        <f t="shared" si="175"/>
        <v>10674.6</v>
      </c>
      <c r="V407" s="83">
        <f t="shared" si="176"/>
        <v>36888</v>
      </c>
      <c r="W407" s="83">
        <f t="shared" si="177"/>
        <v>22916.400000000001</v>
      </c>
      <c r="X407" s="83">
        <f t="shared" si="178"/>
        <v>24393.600000000002</v>
      </c>
      <c r="Y407" s="83">
        <f t="shared" si="179"/>
        <v>22962.600000000002</v>
      </c>
      <c r="Z407" s="83">
        <f t="shared" si="190"/>
        <v>0</v>
      </c>
      <c r="AB407" s="12"/>
      <c r="AC407" s="13">
        <f t="shared" si="155"/>
        <v>2034</v>
      </c>
      <c r="AD407" s="85">
        <f t="shared" si="180"/>
        <v>1003839.3840000001</v>
      </c>
      <c r="AE407" s="85">
        <f t="shared" si="181"/>
        <v>3468947.52</v>
      </c>
      <c r="AF407" s="85">
        <f t="shared" si="182"/>
        <v>2155058.2560000001</v>
      </c>
      <c r="AG407" s="85">
        <f t="shared" si="183"/>
        <v>2293974.1439999999</v>
      </c>
      <c r="AH407" s="85">
        <f t="shared" si="184"/>
        <v>2159402.9040000001</v>
      </c>
      <c r="AI407" s="85">
        <v>0</v>
      </c>
      <c r="AO407" s="103"/>
      <c r="AP407" s="103"/>
      <c r="AQ407" s="103"/>
      <c r="AR407" s="103"/>
      <c r="AS407" s="103"/>
      <c r="AT407" s="103"/>
    </row>
    <row r="408" spans="1:46">
      <c r="A408" s="12"/>
      <c r="B408" s="13">
        <f t="shared" si="162"/>
        <v>2035</v>
      </c>
      <c r="C408" s="83">
        <f t="shared" si="185"/>
        <v>1074800</v>
      </c>
      <c r="D408" s="83">
        <f t="shared" si="186"/>
        <v>3710000</v>
      </c>
      <c r="E408" s="83">
        <f t="shared" si="187"/>
        <v>2303300</v>
      </c>
      <c r="F408" s="83">
        <f t="shared" si="188"/>
        <v>2453500</v>
      </c>
      <c r="G408" s="83">
        <f t="shared" si="189"/>
        <v>2308000</v>
      </c>
      <c r="H408" s="84">
        <f t="shared" si="163"/>
        <v>0</v>
      </c>
      <c r="J408" s="12"/>
      <c r="K408" s="13">
        <f t="shared" si="141"/>
        <v>2035</v>
      </c>
      <c r="L408" s="83">
        <f t="shared" si="169"/>
        <v>53310.080000000002</v>
      </c>
      <c r="M408" s="83">
        <f t="shared" si="170"/>
        <v>184016</v>
      </c>
      <c r="N408" s="83">
        <f t="shared" si="171"/>
        <v>114243.68</v>
      </c>
      <c r="O408" s="83">
        <f t="shared" si="172"/>
        <v>121693.59999999999</v>
      </c>
      <c r="P408" s="83">
        <f t="shared" si="173"/>
        <v>114476.8</v>
      </c>
      <c r="Q408" s="83">
        <f t="shared" si="174"/>
        <v>0</v>
      </c>
      <c r="S408" s="12"/>
      <c r="T408" s="13">
        <f t="shared" si="148"/>
        <v>2035</v>
      </c>
      <c r="U408" s="83">
        <f t="shared" si="175"/>
        <v>10748</v>
      </c>
      <c r="V408" s="83">
        <f t="shared" si="176"/>
        <v>37100</v>
      </c>
      <c r="W408" s="83">
        <f t="shared" si="177"/>
        <v>23033</v>
      </c>
      <c r="X408" s="83">
        <f t="shared" si="178"/>
        <v>24535</v>
      </c>
      <c r="Y408" s="83">
        <f t="shared" si="179"/>
        <v>23080</v>
      </c>
      <c r="Z408" s="83">
        <f t="shared" si="190"/>
        <v>0</v>
      </c>
      <c r="AB408" s="12"/>
      <c r="AC408" s="13">
        <f t="shared" si="155"/>
        <v>2035</v>
      </c>
      <c r="AD408" s="85">
        <f t="shared" si="180"/>
        <v>1010741.92</v>
      </c>
      <c r="AE408" s="85">
        <f t="shared" si="181"/>
        <v>3488884</v>
      </c>
      <c r="AF408" s="85">
        <f t="shared" si="182"/>
        <v>2166023.3199999998</v>
      </c>
      <c r="AG408" s="85">
        <f t="shared" si="183"/>
        <v>2307271.4</v>
      </c>
      <c r="AH408" s="85">
        <f t="shared" si="184"/>
        <v>2170443.2000000002</v>
      </c>
      <c r="AI408" s="85">
        <v>0</v>
      </c>
      <c r="AO408" s="103"/>
      <c r="AP408" s="103"/>
      <c r="AQ408" s="103"/>
      <c r="AR408" s="103"/>
      <c r="AS408" s="103"/>
      <c r="AT408" s="103"/>
    </row>
    <row r="409" spans="1:46">
      <c r="A409" s="12"/>
      <c r="B409" s="13">
        <f t="shared" si="162"/>
        <v>2036</v>
      </c>
      <c r="C409" s="83">
        <f t="shared" si="185"/>
        <v>1082140</v>
      </c>
      <c r="D409" s="83">
        <f t="shared" si="186"/>
        <v>3731200</v>
      </c>
      <c r="E409" s="83">
        <f t="shared" si="187"/>
        <v>2314960</v>
      </c>
      <c r="F409" s="83">
        <f t="shared" si="188"/>
        <v>2467640</v>
      </c>
      <c r="G409" s="83">
        <f t="shared" si="189"/>
        <v>2319740</v>
      </c>
      <c r="H409" s="84">
        <f t="shared" si="163"/>
        <v>0</v>
      </c>
      <c r="J409" s="12"/>
      <c r="K409" s="13">
        <f t="shared" si="141"/>
        <v>2036</v>
      </c>
      <c r="L409" s="83">
        <f t="shared" si="169"/>
        <v>53674.144</v>
      </c>
      <c r="M409" s="83">
        <f t="shared" si="170"/>
        <v>185067.51999999999</v>
      </c>
      <c r="N409" s="83">
        <f t="shared" si="171"/>
        <v>114822.01599999999</v>
      </c>
      <c r="O409" s="83">
        <f t="shared" si="172"/>
        <v>122394.94399999999</v>
      </c>
      <c r="P409" s="83">
        <f t="shared" si="173"/>
        <v>115059.10399999999</v>
      </c>
      <c r="Q409" s="83">
        <f t="shared" si="174"/>
        <v>0</v>
      </c>
      <c r="S409" s="12"/>
      <c r="T409" s="13">
        <f t="shared" si="148"/>
        <v>2036</v>
      </c>
      <c r="U409" s="83">
        <f t="shared" si="175"/>
        <v>10821.4</v>
      </c>
      <c r="V409" s="83">
        <f t="shared" si="176"/>
        <v>37312</v>
      </c>
      <c r="W409" s="83">
        <f t="shared" si="177"/>
        <v>23149.600000000002</v>
      </c>
      <c r="X409" s="83">
        <f t="shared" si="178"/>
        <v>24676.400000000001</v>
      </c>
      <c r="Y409" s="83">
        <f t="shared" si="179"/>
        <v>23197.4</v>
      </c>
      <c r="Z409" s="83">
        <f t="shared" si="190"/>
        <v>0</v>
      </c>
      <c r="AB409" s="12"/>
      <c r="AC409" s="13">
        <f t="shared" si="155"/>
        <v>2036</v>
      </c>
      <c r="AD409" s="85">
        <f t="shared" si="180"/>
        <v>1017644.456</v>
      </c>
      <c r="AE409" s="85">
        <f t="shared" si="181"/>
        <v>3508820.48</v>
      </c>
      <c r="AF409" s="85">
        <f t="shared" si="182"/>
        <v>2176988.3840000001</v>
      </c>
      <c r="AG409" s="85">
        <f t="shared" si="183"/>
        <v>2320568.656</v>
      </c>
      <c r="AH409" s="85">
        <f t="shared" si="184"/>
        <v>2181483.4960000003</v>
      </c>
      <c r="AI409" s="85">
        <v>0</v>
      </c>
      <c r="AO409" s="103"/>
      <c r="AP409" s="103"/>
      <c r="AQ409" s="103"/>
      <c r="AR409" s="103"/>
      <c r="AS409" s="103"/>
      <c r="AT409" s="103"/>
    </row>
    <row r="410" spans="1:46">
      <c r="A410" s="12"/>
      <c r="B410" s="13">
        <f t="shared" si="162"/>
        <v>2037</v>
      </c>
      <c r="C410" s="83">
        <f t="shared" si="185"/>
        <v>1089480</v>
      </c>
      <c r="D410" s="83">
        <f t="shared" si="186"/>
        <v>3752400</v>
      </c>
      <c r="E410" s="83">
        <f t="shared" si="187"/>
        <v>2326620</v>
      </c>
      <c r="F410" s="83">
        <f t="shared" si="188"/>
        <v>2481780</v>
      </c>
      <c r="G410" s="83">
        <f t="shared" si="189"/>
        <v>2331480</v>
      </c>
      <c r="H410" s="84">
        <f t="shared" si="163"/>
        <v>0</v>
      </c>
      <c r="J410" s="12"/>
      <c r="K410" s="13">
        <f t="shared" si="141"/>
        <v>2037</v>
      </c>
      <c r="L410" s="83">
        <f t="shared" si="169"/>
        <v>54038.207999999999</v>
      </c>
      <c r="M410" s="83">
        <f t="shared" si="170"/>
        <v>186119.03999999998</v>
      </c>
      <c r="N410" s="83">
        <f t="shared" si="171"/>
        <v>115400.352</v>
      </c>
      <c r="O410" s="83">
        <f t="shared" si="172"/>
        <v>123096.288</v>
      </c>
      <c r="P410" s="83">
        <f t="shared" si="173"/>
        <v>115641.408</v>
      </c>
      <c r="Q410" s="83">
        <f t="shared" si="174"/>
        <v>0</v>
      </c>
      <c r="S410" s="12"/>
      <c r="T410" s="13">
        <f t="shared" si="148"/>
        <v>2037</v>
      </c>
      <c r="U410" s="83">
        <f t="shared" si="175"/>
        <v>10894.800000000001</v>
      </c>
      <c r="V410" s="83">
        <f t="shared" si="176"/>
        <v>37524</v>
      </c>
      <c r="W410" s="83">
        <f t="shared" si="177"/>
        <v>23266.2</v>
      </c>
      <c r="X410" s="83">
        <f t="shared" si="178"/>
        <v>24817.8</v>
      </c>
      <c r="Y410" s="83">
        <f t="shared" si="179"/>
        <v>23314.799999999999</v>
      </c>
      <c r="Z410" s="83">
        <f t="shared" si="190"/>
        <v>0</v>
      </c>
      <c r="AB410" s="12"/>
      <c r="AC410" s="13">
        <f t="shared" si="155"/>
        <v>2037</v>
      </c>
      <c r="AD410" s="85">
        <f t="shared" si="180"/>
        <v>1024546.992</v>
      </c>
      <c r="AE410" s="85">
        <f t="shared" si="181"/>
        <v>3528756.96</v>
      </c>
      <c r="AF410" s="85">
        <f t="shared" si="182"/>
        <v>2187953.4479999999</v>
      </c>
      <c r="AG410" s="85">
        <f t="shared" si="183"/>
        <v>2333865.912</v>
      </c>
      <c r="AH410" s="85">
        <f t="shared" si="184"/>
        <v>2192523.7920000004</v>
      </c>
      <c r="AI410" s="85">
        <v>0</v>
      </c>
      <c r="AO410" s="103"/>
      <c r="AP410" s="103"/>
      <c r="AQ410" s="103"/>
      <c r="AR410" s="103"/>
      <c r="AS410" s="103"/>
      <c r="AT410" s="103"/>
    </row>
    <row r="411" spans="1:46">
      <c r="A411" s="12"/>
      <c r="B411" s="13">
        <f t="shared" si="162"/>
        <v>2038</v>
      </c>
      <c r="C411" s="83">
        <f t="shared" si="185"/>
        <v>1096820</v>
      </c>
      <c r="D411" s="83">
        <f t="shared" si="186"/>
        <v>3773600</v>
      </c>
      <c r="E411" s="83">
        <f t="shared" si="187"/>
        <v>2338280</v>
      </c>
      <c r="F411" s="83">
        <f t="shared" si="188"/>
        <v>2495920</v>
      </c>
      <c r="G411" s="83">
        <f t="shared" si="189"/>
        <v>2343220</v>
      </c>
      <c r="H411" s="84">
        <f t="shared" si="163"/>
        <v>0</v>
      </c>
      <c r="J411" s="12"/>
      <c r="K411" s="13">
        <f t="shared" si="141"/>
        <v>2038</v>
      </c>
      <c r="L411" s="83">
        <f t="shared" si="169"/>
        <v>54402.271999999997</v>
      </c>
      <c r="M411" s="83">
        <f t="shared" si="170"/>
        <v>187170.56</v>
      </c>
      <c r="N411" s="83">
        <f t="shared" si="171"/>
        <v>115978.68799999999</v>
      </c>
      <c r="O411" s="83">
        <f t="shared" si="172"/>
        <v>123797.632</v>
      </c>
      <c r="P411" s="83">
        <f t="shared" si="173"/>
        <v>116223.712</v>
      </c>
      <c r="Q411" s="83">
        <f t="shared" si="174"/>
        <v>0</v>
      </c>
      <c r="S411" s="12"/>
      <c r="T411" s="13">
        <f t="shared" si="148"/>
        <v>2038</v>
      </c>
      <c r="U411" s="83">
        <f t="shared" si="175"/>
        <v>10968.2</v>
      </c>
      <c r="V411" s="83">
        <f t="shared" si="176"/>
        <v>37736</v>
      </c>
      <c r="W411" s="83">
        <f t="shared" si="177"/>
        <v>23382.799999999999</v>
      </c>
      <c r="X411" s="83">
        <f t="shared" si="178"/>
        <v>24959.200000000001</v>
      </c>
      <c r="Y411" s="83">
        <f t="shared" si="179"/>
        <v>23432.2</v>
      </c>
      <c r="Z411" s="83">
        <f t="shared" si="190"/>
        <v>0</v>
      </c>
      <c r="AB411" s="12"/>
      <c r="AC411" s="13">
        <f t="shared" si="155"/>
        <v>2038</v>
      </c>
      <c r="AD411" s="85">
        <f t="shared" si="180"/>
        <v>1031449.528</v>
      </c>
      <c r="AE411" s="85">
        <f t="shared" si="181"/>
        <v>3548693.44</v>
      </c>
      <c r="AF411" s="85">
        <f t="shared" si="182"/>
        <v>2198918.5120000001</v>
      </c>
      <c r="AG411" s="85">
        <f t="shared" si="183"/>
        <v>2347163.1679999996</v>
      </c>
      <c r="AH411" s="85">
        <f t="shared" si="184"/>
        <v>2203564.088</v>
      </c>
      <c r="AI411" s="85">
        <v>0</v>
      </c>
      <c r="AO411" s="103"/>
      <c r="AP411" s="103"/>
      <c r="AQ411" s="103"/>
      <c r="AR411" s="103"/>
      <c r="AS411" s="103"/>
      <c r="AT411" s="103"/>
    </row>
    <row r="412" spans="1:46">
      <c r="A412" s="12"/>
      <c r="B412" s="13">
        <f t="shared" si="162"/>
        <v>2039</v>
      </c>
      <c r="C412" s="83">
        <f t="shared" si="185"/>
        <v>1104160</v>
      </c>
      <c r="D412" s="83">
        <f t="shared" si="186"/>
        <v>3794800</v>
      </c>
      <c r="E412" s="83">
        <f t="shared" si="187"/>
        <v>2349940</v>
      </c>
      <c r="F412" s="83">
        <f t="shared" si="188"/>
        <v>2510060</v>
      </c>
      <c r="G412" s="83">
        <f t="shared" si="189"/>
        <v>2354960</v>
      </c>
      <c r="H412" s="84">
        <f t="shared" si="163"/>
        <v>0</v>
      </c>
      <c r="J412" s="12"/>
      <c r="K412" s="13">
        <f t="shared" si="141"/>
        <v>2039</v>
      </c>
      <c r="L412" s="83">
        <f t="shared" si="169"/>
        <v>54766.335999999996</v>
      </c>
      <c r="M412" s="83">
        <f t="shared" si="170"/>
        <v>188222.07999999999</v>
      </c>
      <c r="N412" s="83">
        <f t="shared" si="171"/>
        <v>116557.02399999999</v>
      </c>
      <c r="O412" s="83">
        <f t="shared" si="172"/>
        <v>124498.976</v>
      </c>
      <c r="P412" s="83">
        <f t="shared" si="173"/>
        <v>116806.01599999999</v>
      </c>
      <c r="Q412" s="83">
        <f t="shared" si="174"/>
        <v>0</v>
      </c>
      <c r="S412" s="12"/>
      <c r="T412" s="13">
        <f t="shared" si="148"/>
        <v>2039</v>
      </c>
      <c r="U412" s="83">
        <f t="shared" si="175"/>
        <v>11041.6</v>
      </c>
      <c r="V412" s="83">
        <f t="shared" si="176"/>
        <v>37948</v>
      </c>
      <c r="W412" s="83">
        <f t="shared" si="177"/>
        <v>23499.4</v>
      </c>
      <c r="X412" s="83">
        <f t="shared" si="178"/>
        <v>25100.600000000002</v>
      </c>
      <c r="Y412" s="83">
        <f t="shared" si="179"/>
        <v>23549.600000000002</v>
      </c>
      <c r="Z412" s="83">
        <f t="shared" si="190"/>
        <v>0</v>
      </c>
      <c r="AB412" s="12"/>
      <c r="AC412" s="13">
        <f t="shared" si="155"/>
        <v>2039</v>
      </c>
      <c r="AD412" s="85">
        <f t="shared" si="180"/>
        <v>1038352.0640000001</v>
      </c>
      <c r="AE412" s="85">
        <f t="shared" si="181"/>
        <v>3568629.92</v>
      </c>
      <c r="AF412" s="85">
        <f t="shared" si="182"/>
        <v>2209883.5759999999</v>
      </c>
      <c r="AG412" s="85">
        <f t="shared" si="183"/>
        <v>2360460.4240000001</v>
      </c>
      <c r="AH412" s="85">
        <f t="shared" si="184"/>
        <v>2214604.3840000001</v>
      </c>
      <c r="AI412" s="85">
        <v>0</v>
      </c>
      <c r="AO412" s="103"/>
      <c r="AP412" s="103"/>
      <c r="AQ412" s="103"/>
      <c r="AR412" s="103"/>
      <c r="AS412" s="103"/>
      <c r="AT412" s="103"/>
    </row>
    <row r="413" spans="1:46">
      <c r="A413" s="12"/>
      <c r="B413" s="13">
        <f t="shared" si="162"/>
        <v>2040</v>
      </c>
      <c r="C413" s="83">
        <f>AM390*300</f>
        <v>1111500</v>
      </c>
      <c r="D413" s="84">
        <f>AM391*300</f>
        <v>3816000</v>
      </c>
      <c r="E413" s="84">
        <f>AM392*300</f>
        <v>2361600</v>
      </c>
      <c r="F413" s="84">
        <f>AM393*300</f>
        <v>2524200</v>
      </c>
      <c r="G413" s="84">
        <f>AM394*300</f>
        <v>2366700</v>
      </c>
      <c r="H413" s="84">
        <f>AM395*300</f>
        <v>963600</v>
      </c>
      <c r="J413" s="12"/>
      <c r="K413" s="13">
        <f t="shared" si="141"/>
        <v>2040</v>
      </c>
      <c r="L413" s="83">
        <f t="shared" ref="L413:P417" si="191">C413*0.0487</f>
        <v>54130.05</v>
      </c>
      <c r="M413" s="83">
        <f t="shared" si="191"/>
        <v>185839.2</v>
      </c>
      <c r="N413" s="83">
        <f t="shared" si="191"/>
        <v>115009.92</v>
      </c>
      <c r="O413" s="83">
        <f t="shared" si="191"/>
        <v>122928.54</v>
      </c>
      <c r="P413" s="83">
        <f t="shared" si="191"/>
        <v>115258.29</v>
      </c>
      <c r="Q413" s="83">
        <v>770880</v>
      </c>
      <c r="S413" s="12"/>
      <c r="T413" s="13">
        <f t="shared" si="148"/>
        <v>2040</v>
      </c>
      <c r="U413" s="83">
        <f t="shared" ref="U413:Y417" si="192">C413*0.011</f>
        <v>12226.5</v>
      </c>
      <c r="V413" s="83">
        <f t="shared" si="192"/>
        <v>41976</v>
      </c>
      <c r="W413" s="83">
        <f t="shared" si="192"/>
        <v>25977.599999999999</v>
      </c>
      <c r="X413" s="83">
        <f t="shared" si="192"/>
        <v>27766.199999999997</v>
      </c>
      <c r="Y413" s="83">
        <f t="shared" si="192"/>
        <v>26033.699999999997</v>
      </c>
      <c r="Z413" s="83">
        <f t="shared" si="190"/>
        <v>192720</v>
      </c>
      <c r="AB413" s="12"/>
      <c r="AC413" s="13">
        <f t="shared" si="155"/>
        <v>2040</v>
      </c>
      <c r="AD413" s="85">
        <f t="shared" si="180"/>
        <v>1045143.45</v>
      </c>
      <c r="AE413" s="85">
        <f t="shared" si="181"/>
        <v>3588184.8</v>
      </c>
      <c r="AF413" s="85">
        <f t="shared" si="182"/>
        <v>2220612.48</v>
      </c>
      <c r="AG413" s="85">
        <f t="shared" si="183"/>
        <v>2373505.2599999998</v>
      </c>
      <c r="AH413" s="85">
        <f t="shared" si="184"/>
        <v>2225408.0099999998</v>
      </c>
      <c r="AI413" s="85">
        <v>0</v>
      </c>
      <c r="AO413" s="103"/>
      <c r="AP413" s="103"/>
      <c r="AQ413" s="103"/>
      <c r="AR413" s="103"/>
      <c r="AS413" s="103"/>
      <c r="AT413" s="103"/>
    </row>
    <row r="414" spans="1:46">
      <c r="A414" s="12"/>
      <c r="B414" s="13">
        <f t="shared" si="162"/>
        <v>2041</v>
      </c>
      <c r="C414" s="83">
        <f t="shared" si="185"/>
        <v>1118840</v>
      </c>
      <c r="D414" s="83">
        <f>$D$398+(($D$413-$D$398)/($B$413-$B$398))*(B414-$B$398)</f>
        <v>3837200</v>
      </c>
      <c r="E414" s="83">
        <f>$E$398+(($E$413-$E$398)/($B$413-$B$398))*(B414-$B$398)</f>
        <v>2373260</v>
      </c>
      <c r="F414" s="83">
        <f>$F$398+(($F$413-$F$398)/($B$413-$B$398))*(B414-$B$398)</f>
        <v>2538340</v>
      </c>
      <c r="G414" s="83">
        <f>$G$398+(($G$413-$G$398)/($B$413-$B$398))*(B414-$B$398)</f>
        <v>2378440</v>
      </c>
      <c r="H414" s="83">
        <f>$H$398+(($H$413-$H$398)/($B$413-$B$398))*(B414-$B$398)</f>
        <v>1027840</v>
      </c>
      <c r="J414" s="12"/>
      <c r="K414" s="13">
        <f t="shared" si="141"/>
        <v>2041</v>
      </c>
      <c r="L414" s="83">
        <f t="shared" si="191"/>
        <v>54487.508000000002</v>
      </c>
      <c r="M414" s="83">
        <f t="shared" si="191"/>
        <v>186871.64</v>
      </c>
      <c r="N414" s="83">
        <f t="shared" si="191"/>
        <v>115577.762</v>
      </c>
      <c r="O414" s="83">
        <f t="shared" si="191"/>
        <v>123617.158</v>
      </c>
      <c r="P414" s="83">
        <f t="shared" si="191"/>
        <v>115830.02800000001</v>
      </c>
      <c r="Q414" s="83">
        <f>$Q$413/$H$413*H414</f>
        <v>822272</v>
      </c>
      <c r="S414" s="12"/>
      <c r="T414" s="13">
        <f t="shared" si="148"/>
        <v>2041</v>
      </c>
      <c r="U414" s="83">
        <f t="shared" si="192"/>
        <v>12307.24</v>
      </c>
      <c r="V414" s="83">
        <f t="shared" si="192"/>
        <v>42209.2</v>
      </c>
      <c r="W414" s="83">
        <f t="shared" si="192"/>
        <v>26105.859999999997</v>
      </c>
      <c r="X414" s="83">
        <f t="shared" si="192"/>
        <v>27921.739999999998</v>
      </c>
      <c r="Y414" s="83">
        <f t="shared" si="192"/>
        <v>26162.84</v>
      </c>
      <c r="Z414" s="83">
        <f t="shared" si="190"/>
        <v>205568</v>
      </c>
      <c r="AB414" s="12"/>
      <c r="AC414" s="13">
        <f t="shared" si="155"/>
        <v>2041</v>
      </c>
      <c r="AD414" s="85">
        <f t="shared" si="180"/>
        <v>1052045.2520000001</v>
      </c>
      <c r="AE414" s="85">
        <f t="shared" si="181"/>
        <v>3608119.1599999997</v>
      </c>
      <c r="AF414" s="85">
        <f t="shared" si="182"/>
        <v>2231576.378</v>
      </c>
      <c r="AG414" s="85">
        <f t="shared" si="183"/>
        <v>2386801.102</v>
      </c>
      <c r="AH414" s="85">
        <f t="shared" si="184"/>
        <v>2236447.1320000002</v>
      </c>
      <c r="AI414" s="85">
        <v>0</v>
      </c>
      <c r="AO414" s="103"/>
      <c r="AP414" s="103"/>
      <c r="AQ414" s="103"/>
      <c r="AR414" s="103"/>
      <c r="AS414" s="103"/>
      <c r="AT414" s="103"/>
    </row>
    <row r="415" spans="1:46">
      <c r="A415" s="12"/>
      <c r="B415" s="13">
        <f t="shared" si="162"/>
        <v>2042</v>
      </c>
      <c r="C415" s="83">
        <f t="shared" si="185"/>
        <v>1126180</v>
      </c>
      <c r="D415" s="83">
        <f>$D$398+(($D$413-$D$398)/($B$413-$B$398))*(B415-$B$398)</f>
        <v>3858400</v>
      </c>
      <c r="E415" s="83">
        <f>$E$398+(($E$413-$E$398)/($B$413-$B$398))*(B415-$B$398)</f>
        <v>2384920</v>
      </c>
      <c r="F415" s="83">
        <f>$F$398+(($F$413-$F$398)/($B$413-$B$398))*(B415-$B$398)</f>
        <v>2552480</v>
      </c>
      <c r="G415" s="83">
        <f>$G$398+(($G$413-$G$398)/($B$413-$B$398))*(B415-$B$398)</f>
        <v>2390180</v>
      </c>
      <c r="H415" s="83">
        <f>$H$398+(($H$413-$H$398)/($B$413-$B$398))*(B415-$B$398)</f>
        <v>1092080</v>
      </c>
      <c r="J415" s="12"/>
      <c r="K415" s="13">
        <f t="shared" si="141"/>
        <v>2042</v>
      </c>
      <c r="L415" s="83">
        <f t="shared" si="191"/>
        <v>54844.966</v>
      </c>
      <c r="M415" s="83">
        <f t="shared" si="191"/>
        <v>187904.08</v>
      </c>
      <c r="N415" s="83">
        <f t="shared" si="191"/>
        <v>116145.60400000001</v>
      </c>
      <c r="O415" s="83">
        <f t="shared" si="191"/>
        <v>124305.776</v>
      </c>
      <c r="P415" s="83">
        <f t="shared" si="191"/>
        <v>116401.766</v>
      </c>
      <c r="Q415" s="83">
        <f>$Q$413/$H$413*H415</f>
        <v>873664</v>
      </c>
      <c r="S415" s="12"/>
      <c r="T415" s="13">
        <f t="shared" si="148"/>
        <v>2042</v>
      </c>
      <c r="U415" s="83">
        <f t="shared" si="192"/>
        <v>12387.98</v>
      </c>
      <c r="V415" s="83">
        <f t="shared" si="192"/>
        <v>42442.399999999994</v>
      </c>
      <c r="W415" s="83">
        <f t="shared" si="192"/>
        <v>26234.12</v>
      </c>
      <c r="X415" s="83">
        <f t="shared" si="192"/>
        <v>28077.279999999999</v>
      </c>
      <c r="Y415" s="83">
        <f t="shared" si="192"/>
        <v>26291.98</v>
      </c>
      <c r="Z415" s="83">
        <f t="shared" si="190"/>
        <v>218416</v>
      </c>
      <c r="AB415" s="12"/>
      <c r="AC415" s="13">
        <f t="shared" si="155"/>
        <v>2042</v>
      </c>
      <c r="AD415" s="85">
        <f t="shared" si="180"/>
        <v>1058947.054</v>
      </c>
      <c r="AE415" s="85">
        <f t="shared" si="181"/>
        <v>3628053.52</v>
      </c>
      <c r="AF415" s="85">
        <f t="shared" si="182"/>
        <v>2242540.2760000001</v>
      </c>
      <c r="AG415" s="85">
        <f t="shared" si="183"/>
        <v>2400096.9440000001</v>
      </c>
      <c r="AH415" s="85">
        <f t="shared" si="184"/>
        <v>2247486.2540000002</v>
      </c>
      <c r="AI415" s="85">
        <v>0</v>
      </c>
      <c r="AO415" s="103"/>
      <c r="AP415" s="103"/>
      <c r="AQ415" s="103"/>
      <c r="AR415" s="103"/>
      <c r="AS415" s="103"/>
      <c r="AT415" s="103"/>
    </row>
    <row r="416" spans="1:46">
      <c r="A416" s="12"/>
      <c r="B416" s="13">
        <f t="shared" si="162"/>
        <v>2043</v>
      </c>
      <c r="C416" s="83">
        <f t="shared" si="185"/>
        <v>1133520</v>
      </c>
      <c r="D416" s="83">
        <f>$D$398+(($D$413-$D$398)/($B$413-$B$398))*(B416-$B$398)</f>
        <v>3879600</v>
      </c>
      <c r="E416" s="83">
        <f>$E$398+(($E$413-$E$398)/($B$413-$B$398))*(B416-$B$398)</f>
        <v>2396580</v>
      </c>
      <c r="F416" s="83">
        <f>$F$398+(($F$413-$F$398)/($B$413-$B$398))*(B416-$B$398)</f>
        <v>2566620</v>
      </c>
      <c r="G416" s="83">
        <f>$G$398+(($G$413-$G$398)/($B$413-$B$398))*(B416-$B$398)</f>
        <v>2401920</v>
      </c>
      <c r="H416" s="83">
        <f>$H$398+(($H$413-$H$398)/($B$413-$B$398))*(B416-$B$398)</f>
        <v>1156320</v>
      </c>
      <c r="J416" s="12"/>
      <c r="K416" s="13">
        <f t="shared" si="141"/>
        <v>2043</v>
      </c>
      <c r="L416" s="83">
        <f t="shared" si="191"/>
        <v>55202.423999999999</v>
      </c>
      <c r="M416" s="83">
        <f t="shared" si="191"/>
        <v>188936.52</v>
      </c>
      <c r="N416" s="83">
        <f t="shared" si="191"/>
        <v>116713.446</v>
      </c>
      <c r="O416" s="83">
        <f t="shared" si="191"/>
        <v>124994.394</v>
      </c>
      <c r="P416" s="83">
        <f t="shared" si="191"/>
        <v>116973.504</v>
      </c>
      <c r="Q416" s="83">
        <f>$Q$413/$H$413*H416</f>
        <v>925056</v>
      </c>
      <c r="S416" s="12"/>
      <c r="T416" s="13">
        <f t="shared" si="148"/>
        <v>2043</v>
      </c>
      <c r="U416" s="83">
        <f t="shared" si="192"/>
        <v>12468.72</v>
      </c>
      <c r="V416" s="83">
        <f t="shared" si="192"/>
        <v>42675.6</v>
      </c>
      <c r="W416" s="83">
        <f t="shared" si="192"/>
        <v>26362.379999999997</v>
      </c>
      <c r="X416" s="83">
        <f t="shared" si="192"/>
        <v>28232.82</v>
      </c>
      <c r="Y416" s="83">
        <f t="shared" si="192"/>
        <v>26421.119999999999</v>
      </c>
      <c r="Z416" s="83">
        <f t="shared" si="190"/>
        <v>231264</v>
      </c>
      <c r="AB416" s="12"/>
      <c r="AC416" s="13">
        <f t="shared" si="155"/>
        <v>2043</v>
      </c>
      <c r="AD416" s="85">
        <f t="shared" si="180"/>
        <v>1065848.8559999999</v>
      </c>
      <c r="AE416" s="85">
        <f t="shared" si="181"/>
        <v>3647987.88</v>
      </c>
      <c r="AF416" s="85">
        <f t="shared" si="182"/>
        <v>2253504.1740000001</v>
      </c>
      <c r="AG416" s="85">
        <f t="shared" si="183"/>
        <v>2413392.7860000003</v>
      </c>
      <c r="AH416" s="85">
        <f t="shared" si="184"/>
        <v>2258525.3759999997</v>
      </c>
      <c r="AI416" s="85">
        <v>0</v>
      </c>
      <c r="AO416" s="103"/>
      <c r="AP416" s="103"/>
      <c r="AQ416" s="103"/>
      <c r="AR416" s="103"/>
      <c r="AS416" s="103"/>
      <c r="AT416" s="103"/>
    </row>
    <row r="417" spans="1:46">
      <c r="A417" s="43"/>
      <c r="B417" s="13">
        <f t="shared" si="162"/>
        <v>2044</v>
      </c>
      <c r="C417" s="83">
        <f t="shared" si="185"/>
        <v>1140860</v>
      </c>
      <c r="D417" s="83">
        <f>$D$398+(($D$413-$D$398)/($B$413-$B$398))*(B417-$B$398)</f>
        <v>3900800</v>
      </c>
      <c r="E417" s="83">
        <f>$E$398+(($E$413-$E$398)/($B$413-$B$398))*(B417-$B$398)</f>
        <v>2408240</v>
      </c>
      <c r="F417" s="83">
        <f>$F$398+(($F$413-$F$398)/($B$413-$B$398))*(B417-$B$398)</f>
        <v>2580760</v>
      </c>
      <c r="G417" s="83">
        <f>$G$398+(($G$413-$G$398)/($B$413-$B$398))*(B417-$B$398)</f>
        <v>2413660</v>
      </c>
      <c r="H417" s="83">
        <f>$H$398+(($H$413-$H$398)/($B$413-$B$398))*(B417-$B$398)</f>
        <v>1220560</v>
      </c>
      <c r="J417" s="43"/>
      <c r="K417" s="13">
        <f t="shared" si="141"/>
        <v>2044</v>
      </c>
      <c r="L417" s="83">
        <f t="shared" si="191"/>
        <v>55559.881999999998</v>
      </c>
      <c r="M417" s="83">
        <f t="shared" si="191"/>
        <v>189968.96</v>
      </c>
      <c r="N417" s="83">
        <f t="shared" si="191"/>
        <v>117281.288</v>
      </c>
      <c r="O417" s="83">
        <f t="shared" si="191"/>
        <v>125683.012</v>
      </c>
      <c r="P417" s="83">
        <f t="shared" si="191"/>
        <v>117545.242</v>
      </c>
      <c r="Q417" s="83">
        <f>$Q$413/$H$413*H417</f>
        <v>976448</v>
      </c>
      <c r="S417" s="43"/>
      <c r="T417" s="13">
        <f t="shared" si="148"/>
        <v>2044</v>
      </c>
      <c r="U417" s="83">
        <f t="shared" si="192"/>
        <v>12549.46</v>
      </c>
      <c r="V417" s="83">
        <f t="shared" si="192"/>
        <v>42908.799999999996</v>
      </c>
      <c r="W417" s="83">
        <f t="shared" si="192"/>
        <v>26490.639999999999</v>
      </c>
      <c r="X417" s="83">
        <f t="shared" si="192"/>
        <v>28388.359999999997</v>
      </c>
      <c r="Y417" s="83">
        <f t="shared" si="192"/>
        <v>26550.26</v>
      </c>
      <c r="Z417" s="83">
        <f t="shared" si="190"/>
        <v>244112</v>
      </c>
      <c r="AB417" s="43"/>
      <c r="AC417" s="13">
        <f t="shared" si="155"/>
        <v>2044</v>
      </c>
      <c r="AD417" s="85">
        <f t="shared" si="180"/>
        <v>1072750.6580000001</v>
      </c>
      <c r="AE417" s="85">
        <f t="shared" si="181"/>
        <v>3667922.24</v>
      </c>
      <c r="AF417" s="85">
        <f t="shared" si="182"/>
        <v>2264468.0719999997</v>
      </c>
      <c r="AG417" s="85">
        <f t="shared" si="183"/>
        <v>2426688.628</v>
      </c>
      <c r="AH417" s="85">
        <f t="shared" si="184"/>
        <v>2269564.4980000001</v>
      </c>
      <c r="AI417" s="85">
        <v>0</v>
      </c>
      <c r="AO417" s="103"/>
      <c r="AP417" s="103"/>
      <c r="AQ417" s="103"/>
      <c r="AR417" s="103"/>
      <c r="AS417" s="103"/>
      <c r="AT417" s="103"/>
    </row>
    <row r="419" spans="1:46">
      <c r="A419" s="4" t="s">
        <v>94</v>
      </c>
      <c r="J419" s="4" t="s">
        <v>95</v>
      </c>
      <c r="S419" s="4" t="s">
        <v>96</v>
      </c>
    </row>
    <row r="420" spans="1:46">
      <c r="A420" s="134" t="s">
        <v>5</v>
      </c>
      <c r="B420" s="134"/>
      <c r="C420" s="6">
        <v>1</v>
      </c>
      <c r="D420" s="6">
        <v>2</v>
      </c>
      <c r="E420" s="6">
        <v>3</v>
      </c>
      <c r="F420" s="6">
        <v>4</v>
      </c>
      <c r="G420" s="6">
        <v>5</v>
      </c>
      <c r="H420" s="6">
        <v>6</v>
      </c>
      <c r="J420" s="143" t="s">
        <v>5</v>
      </c>
      <c r="K420" s="144"/>
      <c r="L420" s="6">
        <v>1</v>
      </c>
      <c r="M420" s="6">
        <v>2</v>
      </c>
      <c r="N420" s="6">
        <v>3</v>
      </c>
      <c r="O420" s="6">
        <v>4</v>
      </c>
      <c r="P420" s="6">
        <v>5</v>
      </c>
      <c r="Q420" s="6">
        <v>6</v>
      </c>
      <c r="S420" s="143" t="s">
        <v>5</v>
      </c>
      <c r="T420" s="144"/>
      <c r="U420" s="6">
        <v>1</v>
      </c>
      <c r="V420" s="6">
        <v>2</v>
      </c>
      <c r="W420" s="6">
        <v>3</v>
      </c>
      <c r="X420" s="6">
        <v>4</v>
      </c>
      <c r="Y420" s="6">
        <v>5</v>
      </c>
      <c r="Z420" s="6">
        <v>6</v>
      </c>
    </row>
    <row r="421" spans="1:46" ht="31.5">
      <c r="A421" s="134" t="s">
        <v>6</v>
      </c>
      <c r="B421" s="134"/>
      <c r="C421" s="35" t="s">
        <v>101</v>
      </c>
      <c r="D421" s="35" t="s">
        <v>102</v>
      </c>
      <c r="E421" s="35" t="s">
        <v>103</v>
      </c>
      <c r="F421" s="35" t="s">
        <v>104</v>
      </c>
      <c r="G421" s="35" t="s">
        <v>105</v>
      </c>
      <c r="H421" s="35" t="s">
        <v>105</v>
      </c>
      <c r="J421" s="134" t="s">
        <v>6</v>
      </c>
      <c r="K421" s="134"/>
      <c r="L421" s="35" t="s">
        <v>101</v>
      </c>
      <c r="M421" s="35" t="s">
        <v>102</v>
      </c>
      <c r="N421" s="35" t="s">
        <v>103</v>
      </c>
      <c r="O421" s="35" t="s">
        <v>104</v>
      </c>
      <c r="P421" s="35" t="s">
        <v>105</v>
      </c>
      <c r="Q421" s="35" t="s">
        <v>323</v>
      </c>
      <c r="S421" s="134" t="s">
        <v>6</v>
      </c>
      <c r="T421" s="134"/>
      <c r="U421" s="35" t="s">
        <v>101</v>
      </c>
      <c r="V421" s="35" t="s">
        <v>102</v>
      </c>
      <c r="W421" s="35" t="s">
        <v>103</v>
      </c>
      <c r="X421" s="35" t="s">
        <v>104</v>
      </c>
      <c r="Y421" s="35" t="s">
        <v>105</v>
      </c>
      <c r="Z421" s="35" t="s">
        <v>323</v>
      </c>
    </row>
    <row r="422" spans="1:46">
      <c r="A422" s="8"/>
      <c r="B422" s="9" t="s">
        <v>22</v>
      </c>
      <c r="C422" s="36" t="s">
        <v>97</v>
      </c>
      <c r="D422" s="36" t="s">
        <v>97</v>
      </c>
      <c r="E422" s="36" t="s">
        <v>97</v>
      </c>
      <c r="F422" s="36" t="s">
        <v>97</v>
      </c>
      <c r="G422" s="36" t="s">
        <v>97</v>
      </c>
      <c r="H422" s="36" t="s">
        <v>97</v>
      </c>
      <c r="J422" s="8"/>
      <c r="K422" s="9" t="s">
        <v>22</v>
      </c>
      <c r="L422" s="36" t="s">
        <v>97</v>
      </c>
      <c r="M422" s="36" t="s">
        <v>97</v>
      </c>
      <c r="N422" s="36" t="s">
        <v>97</v>
      </c>
      <c r="O422" s="36" t="s">
        <v>97</v>
      </c>
      <c r="P422" s="36" t="s">
        <v>97</v>
      </c>
      <c r="Q422" s="36" t="s">
        <v>97</v>
      </c>
      <c r="S422" s="8"/>
      <c r="T422" s="9" t="s">
        <v>22</v>
      </c>
      <c r="U422" s="36" t="s">
        <v>97</v>
      </c>
      <c r="V422" s="36" t="s">
        <v>97</v>
      </c>
      <c r="W422" s="36" t="s">
        <v>97</v>
      </c>
      <c r="X422" s="36" t="s">
        <v>97</v>
      </c>
      <c r="Y422" s="36" t="s">
        <v>97</v>
      </c>
      <c r="Z422" s="36" t="s">
        <v>97</v>
      </c>
    </row>
    <row r="423" spans="1:46">
      <c r="A423" s="12"/>
      <c r="B423" s="13">
        <f>B388</f>
        <v>2015</v>
      </c>
      <c r="C423" s="60">
        <v>0.42</v>
      </c>
      <c r="D423" s="61">
        <v>0.48</v>
      </c>
      <c r="E423" s="61">
        <v>0.38</v>
      </c>
      <c r="F423" s="61">
        <v>0.39</v>
      </c>
      <c r="G423" s="61">
        <v>0.48</v>
      </c>
      <c r="H423" s="61">
        <v>0</v>
      </c>
      <c r="J423" s="12"/>
      <c r="K423" s="13">
        <f t="shared" ref="K423:K452" si="193">B423</f>
        <v>2015</v>
      </c>
      <c r="L423" s="60">
        <f t="shared" ref="L423:L452" si="194">C423*0.75</f>
        <v>0.315</v>
      </c>
      <c r="M423" s="60">
        <f t="shared" ref="M423:M452" si="195">D423*0.75</f>
        <v>0.36</v>
      </c>
      <c r="N423" s="60">
        <f t="shared" ref="N423:N452" si="196">E423*0.75</f>
        <v>0.28500000000000003</v>
      </c>
      <c r="O423" s="60">
        <f t="shared" ref="O423:O452" si="197">F423*0.75</f>
        <v>0.29249999999999998</v>
      </c>
      <c r="P423" s="60">
        <f t="shared" ref="P423:P452" si="198">G423*0.75</f>
        <v>0.36</v>
      </c>
      <c r="Q423" s="60">
        <f t="shared" ref="Q423:Q452" si="199">H423*0.75</f>
        <v>0</v>
      </c>
      <c r="S423" s="12"/>
      <c r="T423" s="13">
        <f t="shared" ref="T423:T452" si="200">K423</f>
        <v>2015</v>
      </c>
      <c r="U423" s="60">
        <f t="shared" ref="U423:U452" si="201">C423*1.03</f>
        <v>0.43259999999999998</v>
      </c>
      <c r="V423" s="60">
        <f t="shared" ref="V423:V452" si="202">D423*1.03</f>
        <v>0.49440000000000001</v>
      </c>
      <c r="W423" s="60">
        <f t="shared" ref="W423:W452" si="203">E423*1.03</f>
        <v>0.39140000000000003</v>
      </c>
      <c r="X423" s="60">
        <f t="shared" ref="X423:X452" si="204">F423*1.03</f>
        <v>0.4017</v>
      </c>
      <c r="Y423" s="60">
        <f t="shared" ref="Y423:Y452" si="205">G423*1.03</f>
        <v>0.49440000000000001</v>
      </c>
      <c r="Z423" s="60">
        <f t="shared" ref="Z423:Z452" si="206">H423*1.03</f>
        <v>0</v>
      </c>
    </row>
    <row r="424" spans="1:46">
      <c r="A424" s="12"/>
      <c r="B424" s="13">
        <f t="shared" ref="B424:B452" si="207">B389</f>
        <v>2016</v>
      </c>
      <c r="C424" s="60">
        <v>0.42</v>
      </c>
      <c r="D424" s="61">
        <v>0.48</v>
      </c>
      <c r="E424" s="61">
        <v>0.38</v>
      </c>
      <c r="F424" s="61">
        <v>0.39</v>
      </c>
      <c r="G424" s="61">
        <v>0.48</v>
      </c>
      <c r="H424" s="61">
        <v>0</v>
      </c>
      <c r="J424" s="12"/>
      <c r="K424" s="13">
        <f t="shared" si="193"/>
        <v>2016</v>
      </c>
      <c r="L424" s="60">
        <f t="shared" si="194"/>
        <v>0.315</v>
      </c>
      <c r="M424" s="60">
        <f t="shared" si="195"/>
        <v>0.36</v>
      </c>
      <c r="N424" s="60">
        <f t="shared" si="196"/>
        <v>0.28500000000000003</v>
      </c>
      <c r="O424" s="60">
        <f t="shared" si="197"/>
        <v>0.29249999999999998</v>
      </c>
      <c r="P424" s="60">
        <f t="shared" si="198"/>
        <v>0.36</v>
      </c>
      <c r="Q424" s="60">
        <f t="shared" si="199"/>
        <v>0</v>
      </c>
      <c r="S424" s="12"/>
      <c r="T424" s="13">
        <f t="shared" si="200"/>
        <v>2016</v>
      </c>
      <c r="U424" s="60">
        <f t="shared" si="201"/>
        <v>0.43259999999999998</v>
      </c>
      <c r="V424" s="60">
        <f t="shared" si="202"/>
        <v>0.49440000000000001</v>
      </c>
      <c r="W424" s="60">
        <f t="shared" si="203"/>
        <v>0.39140000000000003</v>
      </c>
      <c r="X424" s="60">
        <f t="shared" si="204"/>
        <v>0.4017</v>
      </c>
      <c r="Y424" s="60">
        <f t="shared" si="205"/>
        <v>0.49440000000000001</v>
      </c>
      <c r="Z424" s="60">
        <f t="shared" si="206"/>
        <v>0</v>
      </c>
    </row>
    <row r="425" spans="1:46">
      <c r="A425" s="12"/>
      <c r="B425" s="13">
        <f t="shared" si="207"/>
        <v>2017</v>
      </c>
      <c r="C425" s="60">
        <v>0.42</v>
      </c>
      <c r="D425" s="61">
        <v>0.48</v>
      </c>
      <c r="E425" s="61">
        <v>0.38</v>
      </c>
      <c r="F425" s="61">
        <v>0.39</v>
      </c>
      <c r="G425" s="61">
        <v>0.48</v>
      </c>
      <c r="H425" s="61">
        <v>0</v>
      </c>
      <c r="J425" s="12"/>
      <c r="K425" s="13">
        <f t="shared" si="193"/>
        <v>2017</v>
      </c>
      <c r="L425" s="60">
        <f t="shared" si="194"/>
        <v>0.315</v>
      </c>
      <c r="M425" s="60">
        <f t="shared" si="195"/>
        <v>0.36</v>
      </c>
      <c r="N425" s="60">
        <f t="shared" si="196"/>
        <v>0.28500000000000003</v>
      </c>
      <c r="O425" s="60">
        <f t="shared" si="197"/>
        <v>0.29249999999999998</v>
      </c>
      <c r="P425" s="60">
        <f t="shared" si="198"/>
        <v>0.36</v>
      </c>
      <c r="Q425" s="60">
        <f t="shared" si="199"/>
        <v>0</v>
      </c>
      <c r="S425" s="12"/>
      <c r="T425" s="13">
        <f t="shared" si="200"/>
        <v>2017</v>
      </c>
      <c r="U425" s="60">
        <f t="shared" si="201"/>
        <v>0.43259999999999998</v>
      </c>
      <c r="V425" s="60">
        <f t="shared" si="202"/>
        <v>0.49440000000000001</v>
      </c>
      <c r="W425" s="60">
        <f t="shared" si="203"/>
        <v>0.39140000000000003</v>
      </c>
      <c r="X425" s="60">
        <f t="shared" si="204"/>
        <v>0.4017</v>
      </c>
      <c r="Y425" s="60">
        <f t="shared" si="205"/>
        <v>0.49440000000000001</v>
      </c>
      <c r="Z425" s="60">
        <f t="shared" si="206"/>
        <v>0</v>
      </c>
    </row>
    <row r="426" spans="1:46">
      <c r="A426" s="12"/>
      <c r="B426" s="13">
        <f t="shared" si="207"/>
        <v>2018</v>
      </c>
      <c r="C426" s="60">
        <v>0.42</v>
      </c>
      <c r="D426" s="61">
        <v>0.48</v>
      </c>
      <c r="E426" s="61">
        <v>0.38</v>
      </c>
      <c r="F426" s="61">
        <v>0.39</v>
      </c>
      <c r="G426" s="61">
        <v>0.48</v>
      </c>
      <c r="H426" s="61">
        <v>0</v>
      </c>
      <c r="J426" s="12"/>
      <c r="K426" s="13">
        <f t="shared" si="193"/>
        <v>2018</v>
      </c>
      <c r="L426" s="60">
        <f t="shared" si="194"/>
        <v>0.315</v>
      </c>
      <c r="M426" s="60">
        <f t="shared" si="195"/>
        <v>0.36</v>
      </c>
      <c r="N426" s="60">
        <f t="shared" si="196"/>
        <v>0.28500000000000003</v>
      </c>
      <c r="O426" s="60">
        <f t="shared" si="197"/>
        <v>0.29249999999999998</v>
      </c>
      <c r="P426" s="60">
        <f t="shared" si="198"/>
        <v>0.36</v>
      </c>
      <c r="Q426" s="60">
        <f t="shared" si="199"/>
        <v>0</v>
      </c>
      <c r="S426" s="12"/>
      <c r="T426" s="13">
        <f t="shared" si="200"/>
        <v>2018</v>
      </c>
      <c r="U426" s="60">
        <f t="shared" si="201"/>
        <v>0.43259999999999998</v>
      </c>
      <c r="V426" s="60">
        <f t="shared" si="202"/>
        <v>0.49440000000000001</v>
      </c>
      <c r="W426" s="60">
        <f t="shared" si="203"/>
        <v>0.39140000000000003</v>
      </c>
      <c r="X426" s="60">
        <f t="shared" si="204"/>
        <v>0.4017</v>
      </c>
      <c r="Y426" s="60">
        <f t="shared" si="205"/>
        <v>0.49440000000000001</v>
      </c>
      <c r="Z426" s="60">
        <f t="shared" si="206"/>
        <v>0</v>
      </c>
    </row>
    <row r="427" spans="1:46">
      <c r="A427" s="12"/>
      <c r="B427" s="13">
        <f t="shared" si="207"/>
        <v>2019</v>
      </c>
      <c r="C427" s="60">
        <v>0.42</v>
      </c>
      <c r="D427" s="61">
        <v>0.48</v>
      </c>
      <c r="E427" s="61">
        <v>0.38</v>
      </c>
      <c r="F427" s="61">
        <v>0.39</v>
      </c>
      <c r="G427" s="61">
        <v>0.48</v>
      </c>
      <c r="H427" s="61">
        <v>0</v>
      </c>
      <c r="J427" s="12"/>
      <c r="K427" s="13">
        <f t="shared" si="193"/>
        <v>2019</v>
      </c>
      <c r="L427" s="60">
        <f t="shared" si="194"/>
        <v>0.315</v>
      </c>
      <c r="M427" s="60">
        <f t="shared" si="195"/>
        <v>0.36</v>
      </c>
      <c r="N427" s="60">
        <f t="shared" si="196"/>
        <v>0.28500000000000003</v>
      </c>
      <c r="O427" s="60">
        <f t="shared" si="197"/>
        <v>0.29249999999999998</v>
      </c>
      <c r="P427" s="60">
        <f t="shared" si="198"/>
        <v>0.36</v>
      </c>
      <c r="Q427" s="60">
        <f t="shared" si="199"/>
        <v>0</v>
      </c>
      <c r="S427" s="12"/>
      <c r="T427" s="13">
        <f t="shared" si="200"/>
        <v>2019</v>
      </c>
      <c r="U427" s="60">
        <f t="shared" si="201"/>
        <v>0.43259999999999998</v>
      </c>
      <c r="V427" s="60">
        <f t="shared" si="202"/>
        <v>0.49440000000000001</v>
      </c>
      <c r="W427" s="60">
        <f t="shared" si="203"/>
        <v>0.39140000000000003</v>
      </c>
      <c r="X427" s="60">
        <f t="shared" si="204"/>
        <v>0.4017</v>
      </c>
      <c r="Y427" s="60">
        <f t="shared" si="205"/>
        <v>0.49440000000000001</v>
      </c>
      <c r="Z427" s="60">
        <f t="shared" si="206"/>
        <v>0</v>
      </c>
    </row>
    <row r="428" spans="1:46">
      <c r="A428" s="12"/>
      <c r="B428" s="13">
        <f t="shared" si="207"/>
        <v>2020</v>
      </c>
      <c r="C428" s="60">
        <v>0.42</v>
      </c>
      <c r="D428" s="61">
        <v>0.48</v>
      </c>
      <c r="E428" s="61">
        <v>0.38</v>
      </c>
      <c r="F428" s="61">
        <v>0.39</v>
      </c>
      <c r="G428" s="61">
        <v>0.48</v>
      </c>
      <c r="H428" s="61">
        <v>0</v>
      </c>
      <c r="J428" s="12"/>
      <c r="K428" s="13">
        <f t="shared" si="193"/>
        <v>2020</v>
      </c>
      <c r="L428" s="60">
        <f t="shared" si="194"/>
        <v>0.315</v>
      </c>
      <c r="M428" s="60">
        <f t="shared" si="195"/>
        <v>0.36</v>
      </c>
      <c r="N428" s="60">
        <f t="shared" si="196"/>
        <v>0.28500000000000003</v>
      </c>
      <c r="O428" s="60">
        <f t="shared" si="197"/>
        <v>0.29249999999999998</v>
      </c>
      <c r="P428" s="60">
        <f t="shared" si="198"/>
        <v>0.36</v>
      </c>
      <c r="Q428" s="60">
        <f t="shared" si="199"/>
        <v>0</v>
      </c>
      <c r="S428" s="12"/>
      <c r="T428" s="13">
        <f t="shared" si="200"/>
        <v>2020</v>
      </c>
      <c r="U428" s="60">
        <f t="shared" si="201"/>
        <v>0.43259999999999998</v>
      </c>
      <c r="V428" s="60">
        <f t="shared" si="202"/>
        <v>0.49440000000000001</v>
      </c>
      <c r="W428" s="60">
        <f t="shared" si="203"/>
        <v>0.39140000000000003</v>
      </c>
      <c r="X428" s="60">
        <f t="shared" si="204"/>
        <v>0.4017</v>
      </c>
      <c r="Y428" s="60">
        <f t="shared" si="205"/>
        <v>0.49440000000000001</v>
      </c>
      <c r="Z428" s="60">
        <f t="shared" si="206"/>
        <v>0</v>
      </c>
    </row>
    <row r="429" spans="1:46">
      <c r="A429" s="12"/>
      <c r="B429" s="13">
        <f t="shared" si="207"/>
        <v>2021</v>
      </c>
      <c r="C429" s="60">
        <v>0.42</v>
      </c>
      <c r="D429" s="61">
        <v>0.48</v>
      </c>
      <c r="E429" s="61">
        <v>0.38</v>
      </c>
      <c r="F429" s="61">
        <v>0.39</v>
      </c>
      <c r="G429" s="61">
        <v>0.48</v>
      </c>
      <c r="H429" s="61">
        <v>0</v>
      </c>
      <c r="J429" s="12"/>
      <c r="K429" s="13">
        <f t="shared" si="193"/>
        <v>2021</v>
      </c>
      <c r="L429" s="60">
        <f t="shared" si="194"/>
        <v>0.315</v>
      </c>
      <c r="M429" s="60">
        <f t="shared" si="195"/>
        <v>0.36</v>
      </c>
      <c r="N429" s="60">
        <f t="shared" si="196"/>
        <v>0.28500000000000003</v>
      </c>
      <c r="O429" s="60">
        <f t="shared" si="197"/>
        <v>0.29249999999999998</v>
      </c>
      <c r="P429" s="60">
        <f t="shared" si="198"/>
        <v>0.36</v>
      </c>
      <c r="Q429" s="60">
        <f t="shared" si="199"/>
        <v>0</v>
      </c>
      <c r="S429" s="12"/>
      <c r="T429" s="13">
        <f t="shared" si="200"/>
        <v>2021</v>
      </c>
      <c r="U429" s="60">
        <f t="shared" si="201"/>
        <v>0.43259999999999998</v>
      </c>
      <c r="V429" s="60">
        <f t="shared" si="202"/>
        <v>0.49440000000000001</v>
      </c>
      <c r="W429" s="60">
        <f t="shared" si="203"/>
        <v>0.39140000000000003</v>
      </c>
      <c r="X429" s="60">
        <f t="shared" si="204"/>
        <v>0.4017</v>
      </c>
      <c r="Y429" s="60">
        <f t="shared" si="205"/>
        <v>0.49440000000000001</v>
      </c>
      <c r="Z429" s="60">
        <f t="shared" si="206"/>
        <v>0</v>
      </c>
    </row>
    <row r="430" spans="1:46">
      <c r="A430" s="12"/>
      <c r="B430" s="13">
        <f t="shared" si="207"/>
        <v>2022</v>
      </c>
      <c r="C430" s="60">
        <v>0.42</v>
      </c>
      <c r="D430" s="61">
        <v>0.48</v>
      </c>
      <c r="E430" s="61">
        <v>0.38</v>
      </c>
      <c r="F430" s="61">
        <v>0.39</v>
      </c>
      <c r="G430" s="61">
        <v>0.48</v>
      </c>
      <c r="H430" s="61">
        <v>0</v>
      </c>
      <c r="J430" s="12"/>
      <c r="K430" s="13">
        <f t="shared" si="193"/>
        <v>2022</v>
      </c>
      <c r="L430" s="60">
        <f t="shared" si="194"/>
        <v>0.315</v>
      </c>
      <c r="M430" s="60">
        <f t="shared" si="195"/>
        <v>0.36</v>
      </c>
      <c r="N430" s="60">
        <f t="shared" si="196"/>
        <v>0.28500000000000003</v>
      </c>
      <c r="O430" s="60">
        <f t="shared" si="197"/>
        <v>0.29249999999999998</v>
      </c>
      <c r="P430" s="60">
        <f t="shared" si="198"/>
        <v>0.36</v>
      </c>
      <c r="Q430" s="60">
        <f t="shared" si="199"/>
        <v>0</v>
      </c>
      <c r="S430" s="12"/>
      <c r="T430" s="13">
        <f t="shared" si="200"/>
        <v>2022</v>
      </c>
      <c r="U430" s="60">
        <f t="shared" si="201"/>
        <v>0.43259999999999998</v>
      </c>
      <c r="V430" s="60">
        <f t="shared" si="202"/>
        <v>0.49440000000000001</v>
      </c>
      <c r="W430" s="60">
        <f t="shared" si="203"/>
        <v>0.39140000000000003</v>
      </c>
      <c r="X430" s="60">
        <f t="shared" si="204"/>
        <v>0.4017</v>
      </c>
      <c r="Y430" s="60">
        <f t="shared" si="205"/>
        <v>0.49440000000000001</v>
      </c>
      <c r="Z430" s="60">
        <f t="shared" si="206"/>
        <v>0</v>
      </c>
    </row>
    <row r="431" spans="1:46">
      <c r="A431" s="12"/>
      <c r="B431" s="13">
        <f t="shared" si="207"/>
        <v>2023</v>
      </c>
      <c r="C431" s="60">
        <v>0.42</v>
      </c>
      <c r="D431" s="61">
        <v>0.48</v>
      </c>
      <c r="E431" s="61">
        <v>0.38</v>
      </c>
      <c r="F431" s="61">
        <v>0.39</v>
      </c>
      <c r="G431" s="61">
        <v>0.48</v>
      </c>
      <c r="H431" s="61">
        <v>0</v>
      </c>
      <c r="J431" s="12"/>
      <c r="K431" s="13">
        <f t="shared" si="193"/>
        <v>2023</v>
      </c>
      <c r="L431" s="60">
        <f t="shared" si="194"/>
        <v>0.315</v>
      </c>
      <c r="M431" s="60">
        <f t="shared" si="195"/>
        <v>0.36</v>
      </c>
      <c r="N431" s="60">
        <f t="shared" si="196"/>
        <v>0.28500000000000003</v>
      </c>
      <c r="O431" s="60">
        <f t="shared" si="197"/>
        <v>0.29249999999999998</v>
      </c>
      <c r="P431" s="60">
        <f t="shared" si="198"/>
        <v>0.36</v>
      </c>
      <c r="Q431" s="60">
        <f t="shared" si="199"/>
        <v>0</v>
      </c>
      <c r="S431" s="12"/>
      <c r="T431" s="13">
        <f t="shared" si="200"/>
        <v>2023</v>
      </c>
      <c r="U431" s="60">
        <f t="shared" si="201"/>
        <v>0.43259999999999998</v>
      </c>
      <c r="V431" s="60">
        <f t="shared" si="202"/>
        <v>0.49440000000000001</v>
      </c>
      <c r="W431" s="60">
        <f t="shared" si="203"/>
        <v>0.39140000000000003</v>
      </c>
      <c r="X431" s="60">
        <f t="shared" si="204"/>
        <v>0.4017</v>
      </c>
      <c r="Y431" s="60">
        <f t="shared" si="205"/>
        <v>0.49440000000000001</v>
      </c>
      <c r="Z431" s="60">
        <f t="shared" si="206"/>
        <v>0</v>
      </c>
    </row>
    <row r="432" spans="1:46">
      <c r="A432" s="12"/>
      <c r="B432" s="13">
        <f t="shared" si="207"/>
        <v>2024</v>
      </c>
      <c r="C432" s="60">
        <v>0.42</v>
      </c>
      <c r="D432" s="61">
        <v>0.48</v>
      </c>
      <c r="E432" s="61">
        <v>0.38</v>
      </c>
      <c r="F432" s="61">
        <v>0.39</v>
      </c>
      <c r="G432" s="61">
        <v>0.48</v>
      </c>
      <c r="H432" s="61">
        <v>0</v>
      </c>
      <c r="J432" s="12"/>
      <c r="K432" s="13">
        <f t="shared" si="193"/>
        <v>2024</v>
      </c>
      <c r="L432" s="60">
        <f t="shared" si="194"/>
        <v>0.315</v>
      </c>
      <c r="M432" s="60">
        <f t="shared" si="195"/>
        <v>0.36</v>
      </c>
      <c r="N432" s="60">
        <f t="shared" si="196"/>
        <v>0.28500000000000003</v>
      </c>
      <c r="O432" s="60">
        <f t="shared" si="197"/>
        <v>0.29249999999999998</v>
      </c>
      <c r="P432" s="60">
        <f t="shared" si="198"/>
        <v>0.36</v>
      </c>
      <c r="Q432" s="60">
        <f t="shared" si="199"/>
        <v>0</v>
      </c>
      <c r="S432" s="12"/>
      <c r="T432" s="13">
        <f t="shared" si="200"/>
        <v>2024</v>
      </c>
      <c r="U432" s="60">
        <f t="shared" si="201"/>
        <v>0.43259999999999998</v>
      </c>
      <c r="V432" s="60">
        <f t="shared" si="202"/>
        <v>0.49440000000000001</v>
      </c>
      <c r="W432" s="60">
        <f t="shared" si="203"/>
        <v>0.39140000000000003</v>
      </c>
      <c r="X432" s="60">
        <f t="shared" si="204"/>
        <v>0.4017</v>
      </c>
      <c r="Y432" s="60">
        <f t="shared" si="205"/>
        <v>0.49440000000000001</v>
      </c>
      <c r="Z432" s="60">
        <f t="shared" si="206"/>
        <v>0</v>
      </c>
    </row>
    <row r="433" spans="1:26">
      <c r="A433" s="12"/>
      <c r="B433" s="13">
        <f t="shared" si="207"/>
        <v>2025</v>
      </c>
      <c r="C433" s="60">
        <v>0.41</v>
      </c>
      <c r="D433" s="61">
        <v>0.45</v>
      </c>
      <c r="E433" s="61">
        <v>0.37</v>
      </c>
      <c r="F433" s="61">
        <v>0.38</v>
      </c>
      <c r="G433" s="61">
        <v>0.68</v>
      </c>
      <c r="H433" s="61">
        <v>0</v>
      </c>
      <c r="J433" s="12"/>
      <c r="K433" s="13">
        <f t="shared" si="193"/>
        <v>2025</v>
      </c>
      <c r="L433" s="60">
        <f t="shared" si="194"/>
        <v>0.3075</v>
      </c>
      <c r="M433" s="60">
        <f t="shared" si="195"/>
        <v>0.33750000000000002</v>
      </c>
      <c r="N433" s="60">
        <f t="shared" si="196"/>
        <v>0.27749999999999997</v>
      </c>
      <c r="O433" s="60">
        <f t="shared" si="197"/>
        <v>0.28500000000000003</v>
      </c>
      <c r="P433" s="60">
        <f t="shared" si="198"/>
        <v>0.51</v>
      </c>
      <c r="Q433" s="60">
        <f t="shared" si="199"/>
        <v>0</v>
      </c>
      <c r="S433" s="12"/>
      <c r="T433" s="13">
        <f t="shared" si="200"/>
        <v>2025</v>
      </c>
      <c r="U433" s="60">
        <f t="shared" si="201"/>
        <v>0.42230000000000001</v>
      </c>
      <c r="V433" s="60">
        <f t="shared" si="202"/>
        <v>0.46350000000000002</v>
      </c>
      <c r="W433" s="60">
        <f t="shared" si="203"/>
        <v>0.38109999999999999</v>
      </c>
      <c r="X433" s="60">
        <f t="shared" si="204"/>
        <v>0.39140000000000003</v>
      </c>
      <c r="Y433" s="60">
        <f t="shared" si="205"/>
        <v>0.70040000000000002</v>
      </c>
      <c r="Z433" s="60">
        <f t="shared" si="206"/>
        <v>0</v>
      </c>
    </row>
    <row r="434" spans="1:26">
      <c r="A434" s="12"/>
      <c r="B434" s="13">
        <f t="shared" si="207"/>
        <v>2026</v>
      </c>
      <c r="C434" s="60">
        <v>0.41</v>
      </c>
      <c r="D434" s="61">
        <v>0.45</v>
      </c>
      <c r="E434" s="61">
        <v>0.37</v>
      </c>
      <c r="F434" s="61">
        <v>0.38</v>
      </c>
      <c r="G434" s="61">
        <v>0.68</v>
      </c>
      <c r="H434" s="61">
        <v>0</v>
      </c>
      <c r="J434" s="12"/>
      <c r="K434" s="13">
        <f t="shared" si="193"/>
        <v>2026</v>
      </c>
      <c r="L434" s="60">
        <f t="shared" si="194"/>
        <v>0.3075</v>
      </c>
      <c r="M434" s="60">
        <f t="shared" si="195"/>
        <v>0.33750000000000002</v>
      </c>
      <c r="N434" s="60">
        <f t="shared" si="196"/>
        <v>0.27749999999999997</v>
      </c>
      <c r="O434" s="60">
        <f t="shared" si="197"/>
        <v>0.28500000000000003</v>
      </c>
      <c r="P434" s="60">
        <f t="shared" si="198"/>
        <v>0.51</v>
      </c>
      <c r="Q434" s="60">
        <f t="shared" si="199"/>
        <v>0</v>
      </c>
      <c r="S434" s="12"/>
      <c r="T434" s="13">
        <f t="shared" si="200"/>
        <v>2026</v>
      </c>
      <c r="U434" s="60">
        <f t="shared" si="201"/>
        <v>0.42230000000000001</v>
      </c>
      <c r="V434" s="60">
        <f t="shared" si="202"/>
        <v>0.46350000000000002</v>
      </c>
      <c r="W434" s="60">
        <f t="shared" si="203"/>
        <v>0.38109999999999999</v>
      </c>
      <c r="X434" s="60">
        <f t="shared" si="204"/>
        <v>0.39140000000000003</v>
      </c>
      <c r="Y434" s="60">
        <f t="shared" si="205"/>
        <v>0.70040000000000002</v>
      </c>
      <c r="Z434" s="60">
        <f t="shared" si="206"/>
        <v>0</v>
      </c>
    </row>
    <row r="435" spans="1:26">
      <c r="A435" s="12"/>
      <c r="B435" s="13">
        <f t="shared" si="207"/>
        <v>2027</v>
      </c>
      <c r="C435" s="60">
        <v>0.41</v>
      </c>
      <c r="D435" s="61">
        <v>0.45</v>
      </c>
      <c r="E435" s="61">
        <v>0.37</v>
      </c>
      <c r="F435" s="61">
        <v>0.38</v>
      </c>
      <c r="G435" s="61">
        <v>0.68</v>
      </c>
      <c r="H435" s="61">
        <v>0</v>
      </c>
      <c r="J435" s="12"/>
      <c r="K435" s="13">
        <f t="shared" si="193"/>
        <v>2027</v>
      </c>
      <c r="L435" s="60">
        <f t="shared" si="194"/>
        <v>0.3075</v>
      </c>
      <c r="M435" s="60">
        <f t="shared" si="195"/>
        <v>0.33750000000000002</v>
      </c>
      <c r="N435" s="60">
        <f t="shared" si="196"/>
        <v>0.27749999999999997</v>
      </c>
      <c r="O435" s="60">
        <f t="shared" si="197"/>
        <v>0.28500000000000003</v>
      </c>
      <c r="P435" s="60">
        <f t="shared" si="198"/>
        <v>0.51</v>
      </c>
      <c r="Q435" s="60">
        <f t="shared" si="199"/>
        <v>0</v>
      </c>
      <c r="S435" s="12"/>
      <c r="T435" s="13">
        <f t="shared" si="200"/>
        <v>2027</v>
      </c>
      <c r="U435" s="60">
        <f t="shared" si="201"/>
        <v>0.42230000000000001</v>
      </c>
      <c r="V435" s="60">
        <f t="shared" si="202"/>
        <v>0.46350000000000002</v>
      </c>
      <c r="W435" s="60">
        <f t="shared" si="203"/>
        <v>0.38109999999999999</v>
      </c>
      <c r="X435" s="60">
        <f t="shared" si="204"/>
        <v>0.39140000000000003</v>
      </c>
      <c r="Y435" s="60">
        <f t="shared" si="205"/>
        <v>0.70040000000000002</v>
      </c>
      <c r="Z435" s="60">
        <f t="shared" si="206"/>
        <v>0</v>
      </c>
    </row>
    <row r="436" spans="1:26">
      <c r="A436" s="12"/>
      <c r="B436" s="13">
        <f t="shared" si="207"/>
        <v>2028</v>
      </c>
      <c r="C436" s="60">
        <v>0.41</v>
      </c>
      <c r="D436" s="61">
        <v>0.45</v>
      </c>
      <c r="E436" s="61">
        <v>0.37</v>
      </c>
      <c r="F436" s="61">
        <v>0.38</v>
      </c>
      <c r="G436" s="61">
        <v>0.68</v>
      </c>
      <c r="H436" s="61">
        <v>0</v>
      </c>
      <c r="J436" s="12"/>
      <c r="K436" s="13">
        <f t="shared" si="193"/>
        <v>2028</v>
      </c>
      <c r="L436" s="60">
        <f t="shared" si="194"/>
        <v>0.3075</v>
      </c>
      <c r="M436" s="60">
        <f t="shared" si="195"/>
        <v>0.33750000000000002</v>
      </c>
      <c r="N436" s="60">
        <f t="shared" si="196"/>
        <v>0.27749999999999997</v>
      </c>
      <c r="O436" s="60">
        <f t="shared" si="197"/>
        <v>0.28500000000000003</v>
      </c>
      <c r="P436" s="60">
        <f t="shared" si="198"/>
        <v>0.51</v>
      </c>
      <c r="Q436" s="60">
        <f t="shared" si="199"/>
        <v>0</v>
      </c>
      <c r="S436" s="12"/>
      <c r="T436" s="13">
        <f t="shared" si="200"/>
        <v>2028</v>
      </c>
      <c r="U436" s="60">
        <f t="shared" si="201"/>
        <v>0.42230000000000001</v>
      </c>
      <c r="V436" s="60">
        <f t="shared" si="202"/>
        <v>0.46350000000000002</v>
      </c>
      <c r="W436" s="60">
        <f t="shared" si="203"/>
        <v>0.38109999999999999</v>
      </c>
      <c r="X436" s="60">
        <f t="shared" si="204"/>
        <v>0.39140000000000003</v>
      </c>
      <c r="Y436" s="60">
        <f t="shared" si="205"/>
        <v>0.70040000000000002</v>
      </c>
      <c r="Z436" s="60">
        <f t="shared" si="206"/>
        <v>0</v>
      </c>
    </row>
    <row r="437" spans="1:26">
      <c r="A437" s="12"/>
      <c r="B437" s="13">
        <f t="shared" si="207"/>
        <v>2029</v>
      </c>
      <c r="C437" s="60">
        <v>0.41</v>
      </c>
      <c r="D437" s="61">
        <v>0.45</v>
      </c>
      <c r="E437" s="61">
        <v>0.37</v>
      </c>
      <c r="F437" s="61">
        <v>0.38</v>
      </c>
      <c r="G437" s="61">
        <v>0.68</v>
      </c>
      <c r="H437" s="61">
        <v>0</v>
      </c>
      <c r="J437" s="12"/>
      <c r="K437" s="13">
        <f t="shared" si="193"/>
        <v>2029</v>
      </c>
      <c r="L437" s="60">
        <f t="shared" si="194"/>
        <v>0.3075</v>
      </c>
      <c r="M437" s="60">
        <f t="shared" si="195"/>
        <v>0.33750000000000002</v>
      </c>
      <c r="N437" s="60">
        <f t="shared" si="196"/>
        <v>0.27749999999999997</v>
      </c>
      <c r="O437" s="60">
        <f t="shared" si="197"/>
        <v>0.28500000000000003</v>
      </c>
      <c r="P437" s="60">
        <f t="shared" si="198"/>
        <v>0.51</v>
      </c>
      <c r="Q437" s="60">
        <f t="shared" si="199"/>
        <v>0</v>
      </c>
      <c r="S437" s="12"/>
      <c r="T437" s="13">
        <f t="shared" si="200"/>
        <v>2029</v>
      </c>
      <c r="U437" s="60">
        <f t="shared" si="201"/>
        <v>0.42230000000000001</v>
      </c>
      <c r="V437" s="60">
        <f t="shared" si="202"/>
        <v>0.46350000000000002</v>
      </c>
      <c r="W437" s="60">
        <f t="shared" si="203"/>
        <v>0.38109999999999999</v>
      </c>
      <c r="X437" s="60">
        <f t="shared" si="204"/>
        <v>0.39140000000000003</v>
      </c>
      <c r="Y437" s="60">
        <f t="shared" si="205"/>
        <v>0.70040000000000002</v>
      </c>
      <c r="Z437" s="60">
        <f t="shared" si="206"/>
        <v>0</v>
      </c>
    </row>
    <row r="438" spans="1:26">
      <c r="A438" s="12"/>
      <c r="B438" s="13">
        <f t="shared" si="207"/>
        <v>2030</v>
      </c>
      <c r="C438" s="60">
        <v>0.41</v>
      </c>
      <c r="D438" s="61">
        <v>0.45</v>
      </c>
      <c r="E438" s="61">
        <v>0.37</v>
      </c>
      <c r="F438" s="61">
        <v>0.38</v>
      </c>
      <c r="G438" s="61">
        <v>0.68</v>
      </c>
      <c r="H438" s="61">
        <v>0</v>
      </c>
      <c r="J438" s="12"/>
      <c r="K438" s="13">
        <f t="shared" si="193"/>
        <v>2030</v>
      </c>
      <c r="L438" s="60">
        <f t="shared" si="194"/>
        <v>0.3075</v>
      </c>
      <c r="M438" s="60">
        <f t="shared" si="195"/>
        <v>0.33750000000000002</v>
      </c>
      <c r="N438" s="60">
        <f t="shared" si="196"/>
        <v>0.27749999999999997</v>
      </c>
      <c r="O438" s="60">
        <f t="shared" si="197"/>
        <v>0.28500000000000003</v>
      </c>
      <c r="P438" s="60">
        <f t="shared" si="198"/>
        <v>0.51</v>
      </c>
      <c r="Q438" s="60">
        <f t="shared" si="199"/>
        <v>0</v>
      </c>
      <c r="S438" s="12"/>
      <c r="T438" s="13">
        <f t="shared" si="200"/>
        <v>2030</v>
      </c>
      <c r="U438" s="60">
        <f t="shared" si="201"/>
        <v>0.42230000000000001</v>
      </c>
      <c r="V438" s="60">
        <f t="shared" si="202"/>
        <v>0.46350000000000002</v>
      </c>
      <c r="W438" s="60">
        <f t="shared" si="203"/>
        <v>0.38109999999999999</v>
      </c>
      <c r="X438" s="60">
        <f t="shared" si="204"/>
        <v>0.39140000000000003</v>
      </c>
      <c r="Y438" s="60">
        <f t="shared" si="205"/>
        <v>0.70040000000000002</v>
      </c>
      <c r="Z438" s="60">
        <f t="shared" si="206"/>
        <v>0</v>
      </c>
    </row>
    <row r="439" spans="1:26">
      <c r="A439" s="12"/>
      <c r="B439" s="13">
        <f t="shared" si="207"/>
        <v>2031</v>
      </c>
      <c r="C439" s="60">
        <v>0.41</v>
      </c>
      <c r="D439" s="61">
        <v>0.45</v>
      </c>
      <c r="E439" s="61">
        <v>0.37</v>
      </c>
      <c r="F439" s="61">
        <v>0.38</v>
      </c>
      <c r="G439" s="61">
        <v>0.68</v>
      </c>
      <c r="H439" s="61">
        <v>0</v>
      </c>
      <c r="J439" s="12"/>
      <c r="K439" s="13">
        <f t="shared" si="193"/>
        <v>2031</v>
      </c>
      <c r="L439" s="60">
        <f t="shared" si="194"/>
        <v>0.3075</v>
      </c>
      <c r="M439" s="60">
        <f t="shared" si="195"/>
        <v>0.33750000000000002</v>
      </c>
      <c r="N439" s="60">
        <f t="shared" si="196"/>
        <v>0.27749999999999997</v>
      </c>
      <c r="O439" s="60">
        <f t="shared" si="197"/>
        <v>0.28500000000000003</v>
      </c>
      <c r="P439" s="60">
        <f t="shared" si="198"/>
        <v>0.51</v>
      </c>
      <c r="Q439" s="60">
        <f t="shared" si="199"/>
        <v>0</v>
      </c>
      <c r="S439" s="12"/>
      <c r="T439" s="13">
        <f t="shared" si="200"/>
        <v>2031</v>
      </c>
      <c r="U439" s="60">
        <f t="shared" si="201"/>
        <v>0.42230000000000001</v>
      </c>
      <c r="V439" s="60">
        <f t="shared" si="202"/>
        <v>0.46350000000000002</v>
      </c>
      <c r="W439" s="60">
        <f t="shared" si="203"/>
        <v>0.38109999999999999</v>
      </c>
      <c r="X439" s="60">
        <f t="shared" si="204"/>
        <v>0.39140000000000003</v>
      </c>
      <c r="Y439" s="60">
        <f t="shared" si="205"/>
        <v>0.70040000000000002</v>
      </c>
      <c r="Z439" s="60">
        <f t="shared" si="206"/>
        <v>0</v>
      </c>
    </row>
    <row r="440" spans="1:26">
      <c r="A440" s="12"/>
      <c r="B440" s="13">
        <f t="shared" si="207"/>
        <v>2032</v>
      </c>
      <c r="C440" s="60">
        <v>0.41</v>
      </c>
      <c r="D440" s="61">
        <v>0.45</v>
      </c>
      <c r="E440" s="61">
        <v>0.37</v>
      </c>
      <c r="F440" s="61">
        <v>0.38</v>
      </c>
      <c r="G440" s="61">
        <v>0.68</v>
      </c>
      <c r="H440" s="61">
        <v>0</v>
      </c>
      <c r="J440" s="12"/>
      <c r="K440" s="13">
        <f t="shared" si="193"/>
        <v>2032</v>
      </c>
      <c r="L440" s="60">
        <f t="shared" si="194"/>
        <v>0.3075</v>
      </c>
      <c r="M440" s="60">
        <f t="shared" si="195"/>
        <v>0.33750000000000002</v>
      </c>
      <c r="N440" s="60">
        <f t="shared" si="196"/>
        <v>0.27749999999999997</v>
      </c>
      <c r="O440" s="60">
        <f t="shared" si="197"/>
        <v>0.28500000000000003</v>
      </c>
      <c r="P440" s="60">
        <f t="shared" si="198"/>
        <v>0.51</v>
      </c>
      <c r="Q440" s="60">
        <f t="shared" si="199"/>
        <v>0</v>
      </c>
      <c r="S440" s="12"/>
      <c r="T440" s="13">
        <f t="shared" si="200"/>
        <v>2032</v>
      </c>
      <c r="U440" s="60">
        <f t="shared" si="201"/>
        <v>0.42230000000000001</v>
      </c>
      <c r="V440" s="60">
        <f t="shared" si="202"/>
        <v>0.46350000000000002</v>
      </c>
      <c r="W440" s="60">
        <f t="shared" si="203"/>
        <v>0.38109999999999999</v>
      </c>
      <c r="X440" s="60">
        <f t="shared" si="204"/>
        <v>0.39140000000000003</v>
      </c>
      <c r="Y440" s="60">
        <f t="shared" si="205"/>
        <v>0.70040000000000002</v>
      </c>
      <c r="Z440" s="60">
        <f t="shared" si="206"/>
        <v>0</v>
      </c>
    </row>
    <row r="441" spans="1:26">
      <c r="A441" s="12"/>
      <c r="B441" s="13">
        <f t="shared" si="207"/>
        <v>2033</v>
      </c>
      <c r="C441" s="60">
        <v>0.41</v>
      </c>
      <c r="D441" s="61">
        <v>0.45</v>
      </c>
      <c r="E441" s="61">
        <v>0.37</v>
      </c>
      <c r="F441" s="61">
        <v>0.38</v>
      </c>
      <c r="G441" s="61">
        <v>0.68</v>
      </c>
      <c r="H441" s="61">
        <v>0</v>
      </c>
      <c r="J441" s="12"/>
      <c r="K441" s="13">
        <f t="shared" si="193"/>
        <v>2033</v>
      </c>
      <c r="L441" s="60">
        <f t="shared" si="194"/>
        <v>0.3075</v>
      </c>
      <c r="M441" s="60">
        <f t="shared" si="195"/>
        <v>0.33750000000000002</v>
      </c>
      <c r="N441" s="60">
        <f t="shared" si="196"/>
        <v>0.27749999999999997</v>
      </c>
      <c r="O441" s="60">
        <f t="shared" si="197"/>
        <v>0.28500000000000003</v>
      </c>
      <c r="P441" s="60">
        <f t="shared" si="198"/>
        <v>0.51</v>
      </c>
      <c r="Q441" s="60">
        <f t="shared" si="199"/>
        <v>0</v>
      </c>
      <c r="S441" s="12"/>
      <c r="T441" s="13">
        <f t="shared" si="200"/>
        <v>2033</v>
      </c>
      <c r="U441" s="60">
        <f t="shared" si="201"/>
        <v>0.42230000000000001</v>
      </c>
      <c r="V441" s="60">
        <f t="shared" si="202"/>
        <v>0.46350000000000002</v>
      </c>
      <c r="W441" s="60">
        <f t="shared" si="203"/>
        <v>0.38109999999999999</v>
      </c>
      <c r="X441" s="60">
        <f t="shared" si="204"/>
        <v>0.39140000000000003</v>
      </c>
      <c r="Y441" s="60">
        <f t="shared" si="205"/>
        <v>0.70040000000000002</v>
      </c>
      <c r="Z441" s="60">
        <f t="shared" si="206"/>
        <v>0</v>
      </c>
    </row>
    <row r="442" spans="1:26">
      <c r="A442" s="12"/>
      <c r="B442" s="13">
        <f t="shared" si="207"/>
        <v>2034</v>
      </c>
      <c r="C442" s="60">
        <v>0.41</v>
      </c>
      <c r="D442" s="61">
        <v>0.45</v>
      </c>
      <c r="E442" s="61">
        <v>0.37</v>
      </c>
      <c r="F442" s="61">
        <v>0.38</v>
      </c>
      <c r="G442" s="61">
        <v>0.68</v>
      </c>
      <c r="H442" s="61">
        <v>0</v>
      </c>
      <c r="J442" s="12"/>
      <c r="K442" s="13">
        <f t="shared" si="193"/>
        <v>2034</v>
      </c>
      <c r="L442" s="60">
        <f t="shared" si="194"/>
        <v>0.3075</v>
      </c>
      <c r="M442" s="60">
        <f t="shared" si="195"/>
        <v>0.33750000000000002</v>
      </c>
      <c r="N442" s="60">
        <f t="shared" si="196"/>
        <v>0.27749999999999997</v>
      </c>
      <c r="O442" s="60">
        <f t="shared" si="197"/>
        <v>0.28500000000000003</v>
      </c>
      <c r="P442" s="60">
        <f t="shared" si="198"/>
        <v>0.51</v>
      </c>
      <c r="Q442" s="60">
        <f t="shared" si="199"/>
        <v>0</v>
      </c>
      <c r="S442" s="12"/>
      <c r="T442" s="13">
        <f t="shared" si="200"/>
        <v>2034</v>
      </c>
      <c r="U442" s="60">
        <f t="shared" si="201"/>
        <v>0.42230000000000001</v>
      </c>
      <c r="V442" s="60">
        <f t="shared" si="202"/>
        <v>0.46350000000000002</v>
      </c>
      <c r="W442" s="60">
        <f t="shared" si="203"/>
        <v>0.38109999999999999</v>
      </c>
      <c r="X442" s="60">
        <f t="shared" si="204"/>
        <v>0.39140000000000003</v>
      </c>
      <c r="Y442" s="60">
        <f t="shared" si="205"/>
        <v>0.70040000000000002</v>
      </c>
      <c r="Z442" s="60">
        <f t="shared" si="206"/>
        <v>0</v>
      </c>
    </row>
    <row r="443" spans="1:26">
      <c r="A443" s="12"/>
      <c r="B443" s="13">
        <f t="shared" si="207"/>
        <v>2035</v>
      </c>
      <c r="C443" s="60">
        <v>0.41</v>
      </c>
      <c r="D443" s="61">
        <v>0.45</v>
      </c>
      <c r="E443" s="61">
        <v>0.37</v>
      </c>
      <c r="F443" s="61">
        <v>0.38</v>
      </c>
      <c r="G443" s="61">
        <v>0.68</v>
      </c>
      <c r="H443" s="61">
        <v>0</v>
      </c>
      <c r="J443" s="12"/>
      <c r="K443" s="13">
        <f t="shared" si="193"/>
        <v>2035</v>
      </c>
      <c r="L443" s="60">
        <f t="shared" si="194"/>
        <v>0.3075</v>
      </c>
      <c r="M443" s="60">
        <f t="shared" si="195"/>
        <v>0.33750000000000002</v>
      </c>
      <c r="N443" s="60">
        <f t="shared" si="196"/>
        <v>0.27749999999999997</v>
      </c>
      <c r="O443" s="60">
        <f t="shared" si="197"/>
        <v>0.28500000000000003</v>
      </c>
      <c r="P443" s="60">
        <f t="shared" si="198"/>
        <v>0.51</v>
      </c>
      <c r="Q443" s="60">
        <f t="shared" si="199"/>
        <v>0</v>
      </c>
      <c r="S443" s="12"/>
      <c r="T443" s="13">
        <f t="shared" si="200"/>
        <v>2035</v>
      </c>
      <c r="U443" s="60">
        <f t="shared" si="201"/>
        <v>0.42230000000000001</v>
      </c>
      <c r="V443" s="60">
        <f t="shared" si="202"/>
        <v>0.46350000000000002</v>
      </c>
      <c r="W443" s="60">
        <f t="shared" si="203"/>
        <v>0.38109999999999999</v>
      </c>
      <c r="X443" s="60">
        <f t="shared" si="204"/>
        <v>0.39140000000000003</v>
      </c>
      <c r="Y443" s="60">
        <f t="shared" si="205"/>
        <v>0.70040000000000002</v>
      </c>
      <c r="Z443" s="60">
        <f t="shared" si="206"/>
        <v>0</v>
      </c>
    </row>
    <row r="444" spans="1:26">
      <c r="A444" s="12"/>
      <c r="B444" s="13">
        <f t="shared" si="207"/>
        <v>2036</v>
      </c>
      <c r="C444" s="60">
        <v>0.41</v>
      </c>
      <c r="D444" s="61">
        <v>0.45</v>
      </c>
      <c r="E444" s="61">
        <v>0.37</v>
      </c>
      <c r="F444" s="61">
        <v>0.38</v>
      </c>
      <c r="G444" s="61">
        <v>0.68</v>
      </c>
      <c r="H444" s="61">
        <v>0</v>
      </c>
      <c r="J444" s="12"/>
      <c r="K444" s="13">
        <f t="shared" si="193"/>
        <v>2036</v>
      </c>
      <c r="L444" s="60">
        <f t="shared" si="194"/>
        <v>0.3075</v>
      </c>
      <c r="M444" s="60">
        <f t="shared" si="195"/>
        <v>0.33750000000000002</v>
      </c>
      <c r="N444" s="60">
        <f t="shared" si="196"/>
        <v>0.27749999999999997</v>
      </c>
      <c r="O444" s="60">
        <f t="shared" si="197"/>
        <v>0.28500000000000003</v>
      </c>
      <c r="P444" s="60">
        <f t="shared" si="198"/>
        <v>0.51</v>
      </c>
      <c r="Q444" s="60">
        <f t="shared" si="199"/>
        <v>0</v>
      </c>
      <c r="S444" s="12"/>
      <c r="T444" s="13">
        <f t="shared" si="200"/>
        <v>2036</v>
      </c>
      <c r="U444" s="60">
        <f t="shared" si="201"/>
        <v>0.42230000000000001</v>
      </c>
      <c r="V444" s="60">
        <f t="shared" si="202"/>
        <v>0.46350000000000002</v>
      </c>
      <c r="W444" s="60">
        <f t="shared" si="203"/>
        <v>0.38109999999999999</v>
      </c>
      <c r="X444" s="60">
        <f t="shared" si="204"/>
        <v>0.39140000000000003</v>
      </c>
      <c r="Y444" s="60">
        <f t="shared" si="205"/>
        <v>0.70040000000000002</v>
      </c>
      <c r="Z444" s="60">
        <f t="shared" si="206"/>
        <v>0</v>
      </c>
    </row>
    <row r="445" spans="1:26">
      <c r="A445" s="12"/>
      <c r="B445" s="13">
        <f t="shared" si="207"/>
        <v>2037</v>
      </c>
      <c r="C445" s="60">
        <v>0.41</v>
      </c>
      <c r="D445" s="61">
        <v>0.45</v>
      </c>
      <c r="E445" s="61">
        <v>0.37</v>
      </c>
      <c r="F445" s="61">
        <v>0.38</v>
      </c>
      <c r="G445" s="61">
        <v>0.68</v>
      </c>
      <c r="H445" s="61">
        <v>0</v>
      </c>
      <c r="J445" s="12"/>
      <c r="K445" s="13">
        <f t="shared" si="193"/>
        <v>2037</v>
      </c>
      <c r="L445" s="60">
        <f t="shared" si="194"/>
        <v>0.3075</v>
      </c>
      <c r="M445" s="60">
        <f t="shared" si="195"/>
        <v>0.33750000000000002</v>
      </c>
      <c r="N445" s="60">
        <f t="shared" si="196"/>
        <v>0.27749999999999997</v>
      </c>
      <c r="O445" s="60">
        <f t="shared" si="197"/>
        <v>0.28500000000000003</v>
      </c>
      <c r="P445" s="60">
        <f t="shared" si="198"/>
        <v>0.51</v>
      </c>
      <c r="Q445" s="60">
        <f t="shared" si="199"/>
        <v>0</v>
      </c>
      <c r="S445" s="12"/>
      <c r="T445" s="13">
        <f t="shared" si="200"/>
        <v>2037</v>
      </c>
      <c r="U445" s="60">
        <f t="shared" si="201"/>
        <v>0.42230000000000001</v>
      </c>
      <c r="V445" s="60">
        <f t="shared" si="202"/>
        <v>0.46350000000000002</v>
      </c>
      <c r="W445" s="60">
        <f t="shared" si="203"/>
        <v>0.38109999999999999</v>
      </c>
      <c r="X445" s="60">
        <f t="shared" si="204"/>
        <v>0.39140000000000003</v>
      </c>
      <c r="Y445" s="60">
        <f t="shared" si="205"/>
        <v>0.70040000000000002</v>
      </c>
      <c r="Z445" s="60">
        <f t="shared" si="206"/>
        <v>0</v>
      </c>
    </row>
    <row r="446" spans="1:26">
      <c r="A446" s="12"/>
      <c r="B446" s="13">
        <f t="shared" si="207"/>
        <v>2038</v>
      </c>
      <c r="C446" s="60">
        <v>0.41</v>
      </c>
      <c r="D446" s="61">
        <v>0.45</v>
      </c>
      <c r="E446" s="61">
        <v>0.37</v>
      </c>
      <c r="F446" s="61">
        <v>0.38</v>
      </c>
      <c r="G446" s="61">
        <v>0.68</v>
      </c>
      <c r="H446" s="61">
        <v>0</v>
      </c>
      <c r="J446" s="12"/>
      <c r="K446" s="13">
        <f t="shared" si="193"/>
        <v>2038</v>
      </c>
      <c r="L446" s="60">
        <f t="shared" si="194"/>
        <v>0.3075</v>
      </c>
      <c r="M446" s="60">
        <f t="shared" si="195"/>
        <v>0.33750000000000002</v>
      </c>
      <c r="N446" s="60">
        <f t="shared" si="196"/>
        <v>0.27749999999999997</v>
      </c>
      <c r="O446" s="60">
        <f t="shared" si="197"/>
        <v>0.28500000000000003</v>
      </c>
      <c r="P446" s="60">
        <f t="shared" si="198"/>
        <v>0.51</v>
      </c>
      <c r="Q446" s="60">
        <f t="shared" si="199"/>
        <v>0</v>
      </c>
      <c r="S446" s="12"/>
      <c r="T446" s="13">
        <f t="shared" si="200"/>
        <v>2038</v>
      </c>
      <c r="U446" s="60">
        <f t="shared" si="201"/>
        <v>0.42230000000000001</v>
      </c>
      <c r="V446" s="60">
        <f t="shared" si="202"/>
        <v>0.46350000000000002</v>
      </c>
      <c r="W446" s="60">
        <f t="shared" si="203"/>
        <v>0.38109999999999999</v>
      </c>
      <c r="X446" s="60">
        <f t="shared" si="204"/>
        <v>0.39140000000000003</v>
      </c>
      <c r="Y446" s="60">
        <f t="shared" si="205"/>
        <v>0.70040000000000002</v>
      </c>
      <c r="Z446" s="60">
        <f t="shared" si="206"/>
        <v>0</v>
      </c>
    </row>
    <row r="447" spans="1:26">
      <c r="A447" s="12"/>
      <c r="B447" s="13">
        <f t="shared" si="207"/>
        <v>2039</v>
      </c>
      <c r="C447" s="60">
        <v>0.41</v>
      </c>
      <c r="D447" s="61">
        <v>0.45</v>
      </c>
      <c r="E447" s="61">
        <v>0.37</v>
      </c>
      <c r="F447" s="61">
        <v>0.38</v>
      </c>
      <c r="G447" s="61">
        <v>0.68</v>
      </c>
      <c r="H447" s="61">
        <v>0</v>
      </c>
      <c r="J447" s="12"/>
      <c r="K447" s="13">
        <f t="shared" si="193"/>
        <v>2039</v>
      </c>
      <c r="L447" s="60">
        <f t="shared" si="194"/>
        <v>0.3075</v>
      </c>
      <c r="M447" s="60">
        <f t="shared" si="195"/>
        <v>0.33750000000000002</v>
      </c>
      <c r="N447" s="60">
        <f t="shared" si="196"/>
        <v>0.27749999999999997</v>
      </c>
      <c r="O447" s="60">
        <f t="shared" si="197"/>
        <v>0.28500000000000003</v>
      </c>
      <c r="P447" s="60">
        <f t="shared" si="198"/>
        <v>0.51</v>
      </c>
      <c r="Q447" s="60">
        <f t="shared" si="199"/>
        <v>0</v>
      </c>
      <c r="S447" s="12"/>
      <c r="T447" s="13">
        <f t="shared" si="200"/>
        <v>2039</v>
      </c>
      <c r="U447" s="60">
        <f t="shared" si="201"/>
        <v>0.42230000000000001</v>
      </c>
      <c r="V447" s="60">
        <f t="shared" si="202"/>
        <v>0.46350000000000002</v>
      </c>
      <c r="W447" s="60">
        <f t="shared" si="203"/>
        <v>0.38109999999999999</v>
      </c>
      <c r="X447" s="60">
        <f t="shared" si="204"/>
        <v>0.39140000000000003</v>
      </c>
      <c r="Y447" s="60">
        <f t="shared" si="205"/>
        <v>0.70040000000000002</v>
      </c>
      <c r="Z447" s="60">
        <f t="shared" si="206"/>
        <v>0</v>
      </c>
    </row>
    <row r="448" spans="1:26">
      <c r="A448" s="12"/>
      <c r="B448" s="13">
        <f t="shared" si="207"/>
        <v>2040</v>
      </c>
      <c r="C448" s="60">
        <v>0.39</v>
      </c>
      <c r="D448" s="61">
        <v>0.43</v>
      </c>
      <c r="E448" s="61">
        <v>0.35</v>
      </c>
      <c r="F448" s="61">
        <v>0.37</v>
      </c>
      <c r="G448" s="61">
        <v>0.66</v>
      </c>
      <c r="H448" s="61">
        <v>0.15</v>
      </c>
      <c r="J448" s="12"/>
      <c r="K448" s="13">
        <f t="shared" si="193"/>
        <v>2040</v>
      </c>
      <c r="L448" s="60">
        <f t="shared" si="194"/>
        <v>0.29249999999999998</v>
      </c>
      <c r="M448" s="60">
        <f t="shared" si="195"/>
        <v>0.32250000000000001</v>
      </c>
      <c r="N448" s="60">
        <f t="shared" si="196"/>
        <v>0.26249999999999996</v>
      </c>
      <c r="O448" s="60">
        <f t="shared" si="197"/>
        <v>0.27749999999999997</v>
      </c>
      <c r="P448" s="60">
        <f t="shared" si="198"/>
        <v>0.495</v>
      </c>
      <c r="Q448" s="60">
        <f t="shared" si="199"/>
        <v>0.11249999999999999</v>
      </c>
      <c r="S448" s="12"/>
      <c r="T448" s="13">
        <f t="shared" si="200"/>
        <v>2040</v>
      </c>
      <c r="U448" s="60">
        <f t="shared" si="201"/>
        <v>0.4017</v>
      </c>
      <c r="V448" s="60">
        <f t="shared" si="202"/>
        <v>0.44290000000000002</v>
      </c>
      <c r="W448" s="60">
        <f t="shared" si="203"/>
        <v>0.36049999999999999</v>
      </c>
      <c r="X448" s="60">
        <f t="shared" si="204"/>
        <v>0.38109999999999999</v>
      </c>
      <c r="Y448" s="60">
        <f t="shared" si="205"/>
        <v>0.67980000000000007</v>
      </c>
      <c r="Z448" s="60">
        <f t="shared" si="206"/>
        <v>0.1545</v>
      </c>
    </row>
    <row r="449" spans="1:26">
      <c r="A449" s="12"/>
      <c r="B449" s="13">
        <f t="shared" si="207"/>
        <v>2041</v>
      </c>
      <c r="C449" s="60">
        <v>0.39</v>
      </c>
      <c r="D449" s="61">
        <v>0.43</v>
      </c>
      <c r="E449" s="61">
        <v>0.35</v>
      </c>
      <c r="F449" s="61">
        <v>0.37</v>
      </c>
      <c r="G449" s="61">
        <v>0.66</v>
      </c>
      <c r="H449" s="61">
        <v>0.15</v>
      </c>
      <c r="J449" s="12"/>
      <c r="K449" s="13">
        <f t="shared" si="193"/>
        <v>2041</v>
      </c>
      <c r="L449" s="60">
        <f t="shared" si="194"/>
        <v>0.29249999999999998</v>
      </c>
      <c r="M449" s="60">
        <f t="shared" si="195"/>
        <v>0.32250000000000001</v>
      </c>
      <c r="N449" s="60">
        <f t="shared" si="196"/>
        <v>0.26249999999999996</v>
      </c>
      <c r="O449" s="60">
        <f t="shared" si="197"/>
        <v>0.27749999999999997</v>
      </c>
      <c r="P449" s="60">
        <f t="shared" si="198"/>
        <v>0.495</v>
      </c>
      <c r="Q449" s="60">
        <f t="shared" si="199"/>
        <v>0.11249999999999999</v>
      </c>
      <c r="S449" s="12"/>
      <c r="T449" s="13">
        <f t="shared" si="200"/>
        <v>2041</v>
      </c>
      <c r="U449" s="60">
        <f t="shared" si="201"/>
        <v>0.4017</v>
      </c>
      <c r="V449" s="60">
        <f t="shared" si="202"/>
        <v>0.44290000000000002</v>
      </c>
      <c r="W449" s="60">
        <f t="shared" si="203"/>
        <v>0.36049999999999999</v>
      </c>
      <c r="X449" s="60">
        <f t="shared" si="204"/>
        <v>0.38109999999999999</v>
      </c>
      <c r="Y449" s="60">
        <f t="shared" si="205"/>
        <v>0.67980000000000007</v>
      </c>
      <c r="Z449" s="60">
        <f t="shared" si="206"/>
        <v>0.1545</v>
      </c>
    </row>
    <row r="450" spans="1:26">
      <c r="A450" s="12"/>
      <c r="B450" s="13">
        <f t="shared" si="207"/>
        <v>2042</v>
      </c>
      <c r="C450" s="60">
        <v>0.39</v>
      </c>
      <c r="D450" s="61">
        <v>0.43</v>
      </c>
      <c r="E450" s="61">
        <v>0.35</v>
      </c>
      <c r="F450" s="61">
        <v>0.37</v>
      </c>
      <c r="G450" s="61">
        <v>0.66</v>
      </c>
      <c r="H450" s="61">
        <v>0.15</v>
      </c>
      <c r="J450" s="12"/>
      <c r="K450" s="13">
        <f t="shared" si="193"/>
        <v>2042</v>
      </c>
      <c r="L450" s="60">
        <f t="shared" si="194"/>
        <v>0.29249999999999998</v>
      </c>
      <c r="M450" s="60">
        <f t="shared" si="195"/>
        <v>0.32250000000000001</v>
      </c>
      <c r="N450" s="60">
        <f t="shared" si="196"/>
        <v>0.26249999999999996</v>
      </c>
      <c r="O450" s="60">
        <f t="shared" si="197"/>
        <v>0.27749999999999997</v>
      </c>
      <c r="P450" s="60">
        <f t="shared" si="198"/>
        <v>0.495</v>
      </c>
      <c r="Q450" s="60">
        <f t="shared" si="199"/>
        <v>0.11249999999999999</v>
      </c>
      <c r="S450" s="12"/>
      <c r="T450" s="13">
        <f t="shared" si="200"/>
        <v>2042</v>
      </c>
      <c r="U450" s="60">
        <f t="shared" si="201"/>
        <v>0.4017</v>
      </c>
      <c r="V450" s="60">
        <f t="shared" si="202"/>
        <v>0.44290000000000002</v>
      </c>
      <c r="W450" s="60">
        <f t="shared" si="203"/>
        <v>0.36049999999999999</v>
      </c>
      <c r="X450" s="60">
        <f t="shared" si="204"/>
        <v>0.38109999999999999</v>
      </c>
      <c r="Y450" s="60">
        <f t="shared" si="205"/>
        <v>0.67980000000000007</v>
      </c>
      <c r="Z450" s="60">
        <f t="shared" si="206"/>
        <v>0.1545</v>
      </c>
    </row>
    <row r="451" spans="1:26">
      <c r="A451" s="12"/>
      <c r="B451" s="13">
        <f t="shared" si="207"/>
        <v>2043</v>
      </c>
      <c r="C451" s="60">
        <v>0.39</v>
      </c>
      <c r="D451" s="61">
        <v>0.43</v>
      </c>
      <c r="E451" s="61">
        <v>0.35</v>
      </c>
      <c r="F451" s="61">
        <v>0.37</v>
      </c>
      <c r="G451" s="61">
        <v>0.66</v>
      </c>
      <c r="H451" s="61">
        <v>0.15</v>
      </c>
      <c r="J451" s="12"/>
      <c r="K451" s="13">
        <f t="shared" si="193"/>
        <v>2043</v>
      </c>
      <c r="L451" s="60">
        <f t="shared" si="194"/>
        <v>0.29249999999999998</v>
      </c>
      <c r="M451" s="60">
        <f t="shared" si="195"/>
        <v>0.32250000000000001</v>
      </c>
      <c r="N451" s="60">
        <f t="shared" si="196"/>
        <v>0.26249999999999996</v>
      </c>
      <c r="O451" s="60">
        <f t="shared" si="197"/>
        <v>0.27749999999999997</v>
      </c>
      <c r="P451" s="60">
        <f t="shared" si="198"/>
        <v>0.495</v>
      </c>
      <c r="Q451" s="60">
        <f t="shared" si="199"/>
        <v>0.11249999999999999</v>
      </c>
      <c r="S451" s="12"/>
      <c r="T451" s="13">
        <f t="shared" si="200"/>
        <v>2043</v>
      </c>
      <c r="U451" s="60">
        <f t="shared" si="201"/>
        <v>0.4017</v>
      </c>
      <c r="V451" s="60">
        <f t="shared" si="202"/>
        <v>0.44290000000000002</v>
      </c>
      <c r="W451" s="60">
        <f t="shared" si="203"/>
        <v>0.36049999999999999</v>
      </c>
      <c r="X451" s="60">
        <f t="shared" si="204"/>
        <v>0.38109999999999999</v>
      </c>
      <c r="Y451" s="60">
        <f t="shared" si="205"/>
        <v>0.67980000000000007</v>
      </c>
      <c r="Z451" s="60">
        <f t="shared" si="206"/>
        <v>0.1545</v>
      </c>
    </row>
    <row r="452" spans="1:26">
      <c r="A452" s="43"/>
      <c r="B452" s="13">
        <f t="shared" si="207"/>
        <v>2044</v>
      </c>
      <c r="C452" s="60">
        <v>0.39</v>
      </c>
      <c r="D452" s="61">
        <v>0.43</v>
      </c>
      <c r="E452" s="61">
        <v>0.35</v>
      </c>
      <c r="F452" s="61">
        <v>0.37</v>
      </c>
      <c r="G452" s="61">
        <v>0.66</v>
      </c>
      <c r="H452" s="61">
        <v>0.15</v>
      </c>
      <c r="J452" s="43"/>
      <c r="K452" s="13">
        <f t="shared" si="193"/>
        <v>2044</v>
      </c>
      <c r="L452" s="60">
        <f t="shared" si="194"/>
        <v>0.29249999999999998</v>
      </c>
      <c r="M452" s="60">
        <f t="shared" si="195"/>
        <v>0.32250000000000001</v>
      </c>
      <c r="N452" s="60">
        <f t="shared" si="196"/>
        <v>0.26249999999999996</v>
      </c>
      <c r="O452" s="60">
        <f t="shared" si="197"/>
        <v>0.27749999999999997</v>
      </c>
      <c r="P452" s="60">
        <f t="shared" si="198"/>
        <v>0.495</v>
      </c>
      <c r="Q452" s="60">
        <f t="shared" si="199"/>
        <v>0.11249999999999999</v>
      </c>
      <c r="S452" s="43"/>
      <c r="T452" s="13">
        <f t="shared" si="200"/>
        <v>2044</v>
      </c>
      <c r="U452" s="60">
        <f t="shared" si="201"/>
        <v>0.4017</v>
      </c>
      <c r="V452" s="60">
        <f t="shared" si="202"/>
        <v>0.44290000000000002</v>
      </c>
      <c r="W452" s="60">
        <f t="shared" si="203"/>
        <v>0.36049999999999999</v>
      </c>
      <c r="X452" s="60">
        <f t="shared" si="204"/>
        <v>0.38109999999999999</v>
      </c>
      <c r="Y452" s="60">
        <f t="shared" si="205"/>
        <v>0.67980000000000007</v>
      </c>
      <c r="Z452" s="60">
        <f t="shared" si="206"/>
        <v>0.1545</v>
      </c>
    </row>
    <row r="454" spans="1:26">
      <c r="A454" s="4" t="s">
        <v>98</v>
      </c>
      <c r="J454" s="4" t="s">
        <v>99</v>
      </c>
    </row>
    <row r="455" spans="1:26">
      <c r="A455" s="134" t="s">
        <v>5</v>
      </c>
      <c r="B455" s="134"/>
      <c r="C455" s="6">
        <v>1</v>
      </c>
      <c r="D455" s="6">
        <v>2</v>
      </c>
      <c r="E455" s="6">
        <v>3</v>
      </c>
      <c r="F455" s="6">
        <v>4</v>
      </c>
      <c r="G455" s="6">
        <v>5</v>
      </c>
      <c r="H455" s="6">
        <v>6</v>
      </c>
      <c r="J455" s="143" t="s">
        <v>5</v>
      </c>
      <c r="K455" s="144"/>
      <c r="L455" s="6">
        <v>1</v>
      </c>
      <c r="M455" s="6">
        <v>2</v>
      </c>
      <c r="N455" s="6">
        <v>3</v>
      </c>
      <c r="O455" s="6">
        <v>4</v>
      </c>
      <c r="P455" s="6">
        <v>5</v>
      </c>
      <c r="Q455" s="6">
        <v>6</v>
      </c>
    </row>
    <row r="456" spans="1:26" ht="31.5">
      <c r="A456" s="134" t="s">
        <v>6</v>
      </c>
      <c r="B456" s="134"/>
      <c r="C456" s="35" t="s">
        <v>106</v>
      </c>
      <c r="D456" s="35" t="s">
        <v>107</v>
      </c>
      <c r="E456" s="35" t="s">
        <v>108</v>
      </c>
      <c r="F456" s="35" t="s">
        <v>109</v>
      </c>
      <c r="G456" s="35" t="s">
        <v>110</v>
      </c>
      <c r="H456" s="35" t="s">
        <v>324</v>
      </c>
      <c r="J456" s="134" t="s">
        <v>6</v>
      </c>
      <c r="K456" s="134"/>
      <c r="L456" s="35" t="s">
        <v>106</v>
      </c>
      <c r="M456" s="35" t="s">
        <v>107</v>
      </c>
      <c r="N456" s="35" t="s">
        <v>108</v>
      </c>
      <c r="O456" s="35" t="s">
        <v>109</v>
      </c>
      <c r="P456" s="35" t="s">
        <v>110</v>
      </c>
      <c r="Q456" s="35" t="s">
        <v>324</v>
      </c>
    </row>
    <row r="457" spans="1:26">
      <c r="A457" s="8"/>
      <c r="B457" s="9" t="s">
        <v>22</v>
      </c>
      <c r="C457" s="36" t="s">
        <v>100</v>
      </c>
      <c r="D457" s="36" t="s">
        <v>97</v>
      </c>
      <c r="E457" s="36" t="s">
        <v>97</v>
      </c>
      <c r="F457" s="36" t="s">
        <v>97</v>
      </c>
      <c r="G457" s="36" t="s">
        <v>97</v>
      </c>
      <c r="H457" s="36" t="s">
        <v>97</v>
      </c>
      <c r="J457" s="8"/>
      <c r="K457" s="9" t="s">
        <v>22</v>
      </c>
      <c r="L457" s="36" t="s">
        <v>97</v>
      </c>
      <c r="M457" s="36" t="s">
        <v>97</v>
      </c>
      <c r="N457" s="36" t="s">
        <v>97</v>
      </c>
      <c r="O457" s="36" t="s">
        <v>97</v>
      </c>
      <c r="P457" s="36" t="s">
        <v>97</v>
      </c>
      <c r="Q457" s="36" t="s">
        <v>97</v>
      </c>
    </row>
    <row r="458" spans="1:26">
      <c r="A458" s="12"/>
      <c r="B458" s="13">
        <f>B423</f>
        <v>2015</v>
      </c>
      <c r="C458" s="60">
        <f t="shared" ref="C458:H458" si="208">C351*0.9</f>
        <v>37.908000000000001</v>
      </c>
      <c r="D458" s="60">
        <f t="shared" si="208"/>
        <v>32.292000000000002</v>
      </c>
      <c r="E458" s="60">
        <f t="shared" si="208"/>
        <v>30.888000000000002</v>
      </c>
      <c r="F458" s="60">
        <f t="shared" si="208"/>
        <v>28.782000000000004</v>
      </c>
      <c r="G458" s="60">
        <f t="shared" si="208"/>
        <v>39.663000000000004</v>
      </c>
      <c r="H458" s="60">
        <f t="shared" si="208"/>
        <v>0</v>
      </c>
      <c r="J458" s="12"/>
      <c r="K458" s="13">
        <f t="shared" ref="K458:K487" si="209">B458</f>
        <v>2015</v>
      </c>
      <c r="L458" s="60">
        <f t="shared" ref="L458:P467" si="210">L351*1.1</f>
        <v>35.64</v>
      </c>
      <c r="M458" s="60">
        <f t="shared" si="210"/>
        <v>30.360000000000003</v>
      </c>
      <c r="N458" s="60">
        <f t="shared" si="210"/>
        <v>29.04</v>
      </c>
      <c r="O458" s="60">
        <f t="shared" si="210"/>
        <v>27.060000000000002</v>
      </c>
      <c r="P458" s="60">
        <f t="shared" si="210"/>
        <v>37.29</v>
      </c>
      <c r="Q458" s="60">
        <f t="shared" ref="Q458:Q482" si="211">Q351*1.1</f>
        <v>0</v>
      </c>
    </row>
    <row r="459" spans="1:26">
      <c r="A459" s="12"/>
      <c r="B459" s="13">
        <f t="shared" ref="B459:B487" si="212">B424</f>
        <v>2016</v>
      </c>
      <c r="C459" s="60">
        <f t="shared" ref="C459:H459" si="213">C352*0.9</f>
        <v>37.908000000000001</v>
      </c>
      <c r="D459" s="60">
        <f t="shared" si="213"/>
        <v>32.292000000000002</v>
      </c>
      <c r="E459" s="60">
        <f t="shared" si="213"/>
        <v>30.888000000000002</v>
      </c>
      <c r="F459" s="60">
        <f t="shared" si="213"/>
        <v>28.782000000000004</v>
      </c>
      <c r="G459" s="60">
        <f t="shared" si="213"/>
        <v>39.663000000000004</v>
      </c>
      <c r="H459" s="60">
        <f t="shared" si="213"/>
        <v>0</v>
      </c>
      <c r="J459" s="12"/>
      <c r="K459" s="13">
        <f t="shared" si="209"/>
        <v>2016</v>
      </c>
      <c r="L459" s="60">
        <f t="shared" si="210"/>
        <v>35.64</v>
      </c>
      <c r="M459" s="60">
        <f t="shared" si="210"/>
        <v>30.360000000000003</v>
      </c>
      <c r="N459" s="60">
        <f t="shared" si="210"/>
        <v>29.04</v>
      </c>
      <c r="O459" s="60">
        <f t="shared" si="210"/>
        <v>27.060000000000002</v>
      </c>
      <c r="P459" s="60">
        <f t="shared" si="210"/>
        <v>37.29</v>
      </c>
      <c r="Q459" s="60">
        <f t="shared" si="211"/>
        <v>0</v>
      </c>
    </row>
    <row r="460" spans="1:26">
      <c r="A460" s="12"/>
      <c r="B460" s="13">
        <f t="shared" si="212"/>
        <v>2017</v>
      </c>
      <c r="C460" s="60">
        <f t="shared" ref="C460:H460" si="214">C353*0.9</f>
        <v>37.908000000000001</v>
      </c>
      <c r="D460" s="60">
        <f t="shared" si="214"/>
        <v>32.292000000000002</v>
      </c>
      <c r="E460" s="60">
        <f t="shared" si="214"/>
        <v>30.888000000000002</v>
      </c>
      <c r="F460" s="60">
        <f t="shared" si="214"/>
        <v>28.782000000000004</v>
      </c>
      <c r="G460" s="60">
        <f t="shared" si="214"/>
        <v>39.663000000000004</v>
      </c>
      <c r="H460" s="60">
        <f t="shared" si="214"/>
        <v>0</v>
      </c>
      <c r="J460" s="12"/>
      <c r="K460" s="13">
        <f t="shared" si="209"/>
        <v>2017</v>
      </c>
      <c r="L460" s="60">
        <f t="shared" si="210"/>
        <v>35.64</v>
      </c>
      <c r="M460" s="60">
        <f t="shared" si="210"/>
        <v>30.360000000000003</v>
      </c>
      <c r="N460" s="60">
        <f t="shared" si="210"/>
        <v>29.04</v>
      </c>
      <c r="O460" s="60">
        <f t="shared" si="210"/>
        <v>27.060000000000002</v>
      </c>
      <c r="P460" s="60">
        <f t="shared" si="210"/>
        <v>37.29</v>
      </c>
      <c r="Q460" s="60">
        <f t="shared" si="211"/>
        <v>0</v>
      </c>
    </row>
    <row r="461" spans="1:26">
      <c r="A461" s="12"/>
      <c r="B461" s="13">
        <f t="shared" si="212"/>
        <v>2018</v>
      </c>
      <c r="C461" s="60">
        <f t="shared" ref="C461:H461" si="215">C354*0.9</f>
        <v>37.908000000000001</v>
      </c>
      <c r="D461" s="60">
        <f t="shared" si="215"/>
        <v>32.292000000000002</v>
      </c>
      <c r="E461" s="60">
        <f t="shared" si="215"/>
        <v>30.888000000000002</v>
      </c>
      <c r="F461" s="60">
        <f t="shared" si="215"/>
        <v>28.782000000000004</v>
      </c>
      <c r="G461" s="60">
        <f t="shared" si="215"/>
        <v>39.663000000000004</v>
      </c>
      <c r="H461" s="60">
        <f t="shared" si="215"/>
        <v>0</v>
      </c>
      <c r="J461" s="12"/>
      <c r="K461" s="13">
        <f t="shared" si="209"/>
        <v>2018</v>
      </c>
      <c r="L461" s="60">
        <f t="shared" si="210"/>
        <v>35.64</v>
      </c>
      <c r="M461" s="60">
        <f t="shared" si="210"/>
        <v>30.360000000000003</v>
      </c>
      <c r="N461" s="60">
        <f t="shared" si="210"/>
        <v>29.04</v>
      </c>
      <c r="O461" s="60">
        <f t="shared" si="210"/>
        <v>27.060000000000002</v>
      </c>
      <c r="P461" s="60">
        <f t="shared" si="210"/>
        <v>37.29</v>
      </c>
      <c r="Q461" s="60">
        <f t="shared" si="211"/>
        <v>0</v>
      </c>
    </row>
    <row r="462" spans="1:26">
      <c r="A462" s="12"/>
      <c r="B462" s="13">
        <f t="shared" si="212"/>
        <v>2019</v>
      </c>
      <c r="C462" s="60">
        <f t="shared" ref="C462:H462" si="216">C355*0.9</f>
        <v>37.908000000000001</v>
      </c>
      <c r="D462" s="60">
        <f t="shared" si="216"/>
        <v>32.292000000000002</v>
      </c>
      <c r="E462" s="60">
        <f t="shared" si="216"/>
        <v>30.888000000000002</v>
      </c>
      <c r="F462" s="60">
        <f t="shared" si="216"/>
        <v>28.782000000000004</v>
      </c>
      <c r="G462" s="60">
        <f t="shared" si="216"/>
        <v>39.663000000000004</v>
      </c>
      <c r="H462" s="60">
        <f t="shared" si="216"/>
        <v>0</v>
      </c>
      <c r="J462" s="12"/>
      <c r="K462" s="13">
        <f t="shared" si="209"/>
        <v>2019</v>
      </c>
      <c r="L462" s="60">
        <f t="shared" si="210"/>
        <v>35.64</v>
      </c>
      <c r="M462" s="60">
        <f t="shared" si="210"/>
        <v>30.360000000000003</v>
      </c>
      <c r="N462" s="60">
        <f t="shared" si="210"/>
        <v>29.04</v>
      </c>
      <c r="O462" s="60">
        <f t="shared" si="210"/>
        <v>27.060000000000002</v>
      </c>
      <c r="P462" s="60">
        <f t="shared" si="210"/>
        <v>37.29</v>
      </c>
      <c r="Q462" s="60">
        <f t="shared" si="211"/>
        <v>0</v>
      </c>
    </row>
    <row r="463" spans="1:26">
      <c r="A463" s="12"/>
      <c r="B463" s="13">
        <f t="shared" si="212"/>
        <v>2020</v>
      </c>
      <c r="C463" s="60">
        <f t="shared" ref="C463:H463" si="217">C356*0.9</f>
        <v>37.908000000000001</v>
      </c>
      <c r="D463" s="60">
        <f t="shared" si="217"/>
        <v>32.292000000000002</v>
      </c>
      <c r="E463" s="60">
        <f t="shared" si="217"/>
        <v>30.888000000000002</v>
      </c>
      <c r="F463" s="60">
        <f t="shared" si="217"/>
        <v>28.782000000000004</v>
      </c>
      <c r="G463" s="60">
        <f t="shared" si="217"/>
        <v>39.663000000000004</v>
      </c>
      <c r="H463" s="60">
        <f t="shared" si="217"/>
        <v>0</v>
      </c>
      <c r="J463" s="12"/>
      <c r="K463" s="13">
        <f t="shared" si="209"/>
        <v>2020</v>
      </c>
      <c r="L463" s="60">
        <f t="shared" si="210"/>
        <v>35.64</v>
      </c>
      <c r="M463" s="60">
        <f t="shared" si="210"/>
        <v>30.360000000000003</v>
      </c>
      <c r="N463" s="60">
        <f t="shared" si="210"/>
        <v>29.04</v>
      </c>
      <c r="O463" s="60">
        <f t="shared" si="210"/>
        <v>27.060000000000002</v>
      </c>
      <c r="P463" s="60">
        <f t="shared" si="210"/>
        <v>37.29</v>
      </c>
      <c r="Q463" s="60">
        <f t="shared" si="211"/>
        <v>0</v>
      </c>
    </row>
    <row r="464" spans="1:26">
      <c r="A464" s="12"/>
      <c r="B464" s="13">
        <f t="shared" si="212"/>
        <v>2021</v>
      </c>
      <c r="C464" s="60">
        <f t="shared" ref="C464:H464" si="218">C357*0.9</f>
        <v>37.908000000000001</v>
      </c>
      <c r="D464" s="60">
        <f t="shared" si="218"/>
        <v>32.292000000000002</v>
      </c>
      <c r="E464" s="60">
        <f t="shared" si="218"/>
        <v>30.888000000000002</v>
      </c>
      <c r="F464" s="60">
        <f t="shared" si="218"/>
        <v>28.782000000000004</v>
      </c>
      <c r="G464" s="60">
        <f t="shared" si="218"/>
        <v>39.663000000000004</v>
      </c>
      <c r="H464" s="60">
        <f t="shared" si="218"/>
        <v>0</v>
      </c>
      <c r="J464" s="12"/>
      <c r="K464" s="13">
        <f t="shared" si="209"/>
        <v>2021</v>
      </c>
      <c r="L464" s="60">
        <f t="shared" si="210"/>
        <v>35.64</v>
      </c>
      <c r="M464" s="60">
        <f t="shared" si="210"/>
        <v>30.360000000000003</v>
      </c>
      <c r="N464" s="60">
        <f t="shared" si="210"/>
        <v>29.04</v>
      </c>
      <c r="O464" s="60">
        <f t="shared" si="210"/>
        <v>27.060000000000002</v>
      </c>
      <c r="P464" s="60">
        <f t="shared" si="210"/>
        <v>37.29</v>
      </c>
      <c r="Q464" s="60">
        <f t="shared" si="211"/>
        <v>0</v>
      </c>
    </row>
    <row r="465" spans="1:17">
      <c r="A465" s="12"/>
      <c r="B465" s="13">
        <f t="shared" si="212"/>
        <v>2022</v>
      </c>
      <c r="C465" s="60">
        <f t="shared" ref="C465:H465" si="219">C358*0.9</f>
        <v>37.908000000000001</v>
      </c>
      <c r="D465" s="60">
        <f t="shared" si="219"/>
        <v>32.292000000000002</v>
      </c>
      <c r="E465" s="60">
        <f t="shared" si="219"/>
        <v>30.888000000000002</v>
      </c>
      <c r="F465" s="60">
        <f t="shared" si="219"/>
        <v>28.782000000000004</v>
      </c>
      <c r="G465" s="60">
        <f t="shared" si="219"/>
        <v>39.663000000000004</v>
      </c>
      <c r="H465" s="60">
        <f t="shared" si="219"/>
        <v>0</v>
      </c>
      <c r="J465" s="12"/>
      <c r="K465" s="13">
        <f t="shared" si="209"/>
        <v>2022</v>
      </c>
      <c r="L465" s="60">
        <f t="shared" si="210"/>
        <v>35.64</v>
      </c>
      <c r="M465" s="60">
        <f t="shared" si="210"/>
        <v>30.360000000000003</v>
      </c>
      <c r="N465" s="60">
        <f t="shared" si="210"/>
        <v>29.04</v>
      </c>
      <c r="O465" s="60">
        <f t="shared" si="210"/>
        <v>27.060000000000002</v>
      </c>
      <c r="P465" s="60">
        <f t="shared" si="210"/>
        <v>37.29</v>
      </c>
      <c r="Q465" s="60">
        <f t="shared" si="211"/>
        <v>0</v>
      </c>
    </row>
    <row r="466" spans="1:17">
      <c r="A466" s="12"/>
      <c r="B466" s="13">
        <f t="shared" si="212"/>
        <v>2023</v>
      </c>
      <c r="C466" s="60">
        <f t="shared" ref="C466:H466" si="220">C359*0.9</f>
        <v>37.908000000000001</v>
      </c>
      <c r="D466" s="60">
        <f t="shared" si="220"/>
        <v>32.292000000000002</v>
      </c>
      <c r="E466" s="60">
        <f t="shared" si="220"/>
        <v>30.888000000000002</v>
      </c>
      <c r="F466" s="60">
        <f t="shared" si="220"/>
        <v>28.782000000000004</v>
      </c>
      <c r="G466" s="60">
        <f t="shared" si="220"/>
        <v>39.663000000000004</v>
      </c>
      <c r="H466" s="60">
        <f t="shared" si="220"/>
        <v>0</v>
      </c>
      <c r="J466" s="12"/>
      <c r="K466" s="13">
        <f t="shared" si="209"/>
        <v>2023</v>
      </c>
      <c r="L466" s="60">
        <f t="shared" si="210"/>
        <v>35.64</v>
      </c>
      <c r="M466" s="60">
        <f t="shared" si="210"/>
        <v>30.360000000000003</v>
      </c>
      <c r="N466" s="60">
        <f t="shared" si="210"/>
        <v>29.04</v>
      </c>
      <c r="O466" s="60">
        <f t="shared" si="210"/>
        <v>27.060000000000002</v>
      </c>
      <c r="P466" s="60">
        <f t="shared" si="210"/>
        <v>37.29</v>
      </c>
      <c r="Q466" s="60">
        <f t="shared" si="211"/>
        <v>0</v>
      </c>
    </row>
    <row r="467" spans="1:17">
      <c r="A467" s="12"/>
      <c r="B467" s="13">
        <f t="shared" si="212"/>
        <v>2024</v>
      </c>
      <c r="C467" s="60">
        <f t="shared" ref="C467:H467" si="221">C360*0.9</f>
        <v>37.908000000000001</v>
      </c>
      <c r="D467" s="60">
        <f t="shared" si="221"/>
        <v>32.292000000000002</v>
      </c>
      <c r="E467" s="60">
        <f t="shared" si="221"/>
        <v>30.888000000000002</v>
      </c>
      <c r="F467" s="60">
        <f t="shared" si="221"/>
        <v>28.782000000000004</v>
      </c>
      <c r="G467" s="60">
        <f t="shared" si="221"/>
        <v>39.663000000000004</v>
      </c>
      <c r="H467" s="60">
        <f t="shared" si="221"/>
        <v>0</v>
      </c>
      <c r="J467" s="12"/>
      <c r="K467" s="13">
        <f t="shared" si="209"/>
        <v>2024</v>
      </c>
      <c r="L467" s="60">
        <f t="shared" si="210"/>
        <v>35.64</v>
      </c>
      <c r="M467" s="60">
        <f t="shared" si="210"/>
        <v>30.360000000000003</v>
      </c>
      <c r="N467" s="60">
        <f t="shared" si="210"/>
        <v>29.04</v>
      </c>
      <c r="O467" s="60">
        <f t="shared" si="210"/>
        <v>27.060000000000002</v>
      </c>
      <c r="P467" s="60">
        <f t="shared" si="210"/>
        <v>37.29</v>
      </c>
      <c r="Q467" s="60">
        <f t="shared" si="211"/>
        <v>0</v>
      </c>
    </row>
    <row r="468" spans="1:17">
      <c r="A468" s="12"/>
      <c r="B468" s="13">
        <f t="shared" si="212"/>
        <v>2025</v>
      </c>
      <c r="C468" s="60">
        <f t="shared" ref="C468:H468" si="222">C361*0.9</f>
        <v>37.908000000000001</v>
      </c>
      <c r="D468" s="60">
        <f t="shared" si="222"/>
        <v>32.292000000000002</v>
      </c>
      <c r="E468" s="60">
        <f t="shared" si="222"/>
        <v>30.888000000000002</v>
      </c>
      <c r="F468" s="60">
        <f t="shared" si="222"/>
        <v>28.782000000000004</v>
      </c>
      <c r="G468" s="60">
        <f t="shared" si="222"/>
        <v>39.663000000000004</v>
      </c>
      <c r="H468" s="60">
        <f t="shared" si="222"/>
        <v>0</v>
      </c>
      <c r="J468" s="12"/>
      <c r="K468" s="13">
        <f t="shared" si="209"/>
        <v>2025</v>
      </c>
      <c r="L468" s="60">
        <f t="shared" ref="L468:P477" si="223">L361*1.1</f>
        <v>35.64</v>
      </c>
      <c r="M468" s="60">
        <f t="shared" si="223"/>
        <v>30.360000000000003</v>
      </c>
      <c r="N468" s="60">
        <f t="shared" si="223"/>
        <v>29.04</v>
      </c>
      <c r="O468" s="60">
        <f t="shared" si="223"/>
        <v>27.060000000000002</v>
      </c>
      <c r="P468" s="60">
        <f t="shared" si="223"/>
        <v>37.29</v>
      </c>
      <c r="Q468" s="60">
        <f t="shared" si="211"/>
        <v>0</v>
      </c>
    </row>
    <row r="469" spans="1:17">
      <c r="A469" s="12"/>
      <c r="B469" s="13">
        <f t="shared" si="212"/>
        <v>2026</v>
      </c>
      <c r="C469" s="60">
        <f t="shared" ref="C469:H469" si="224">C362*0.9</f>
        <v>37.908000000000001</v>
      </c>
      <c r="D469" s="60">
        <f t="shared" si="224"/>
        <v>32.292000000000002</v>
      </c>
      <c r="E469" s="60">
        <f t="shared" si="224"/>
        <v>30.888000000000002</v>
      </c>
      <c r="F469" s="60">
        <f t="shared" si="224"/>
        <v>28.782000000000004</v>
      </c>
      <c r="G469" s="60">
        <f t="shared" si="224"/>
        <v>39.663000000000004</v>
      </c>
      <c r="H469" s="60">
        <f t="shared" si="224"/>
        <v>0</v>
      </c>
      <c r="J469" s="12"/>
      <c r="K469" s="13">
        <f t="shared" si="209"/>
        <v>2026</v>
      </c>
      <c r="L469" s="60">
        <f t="shared" si="223"/>
        <v>35.64</v>
      </c>
      <c r="M469" s="60">
        <f t="shared" si="223"/>
        <v>30.360000000000003</v>
      </c>
      <c r="N469" s="60">
        <f t="shared" si="223"/>
        <v>29.04</v>
      </c>
      <c r="O469" s="60">
        <f t="shared" si="223"/>
        <v>27.060000000000002</v>
      </c>
      <c r="P469" s="60">
        <f t="shared" si="223"/>
        <v>37.29</v>
      </c>
      <c r="Q469" s="60">
        <f t="shared" si="211"/>
        <v>0</v>
      </c>
    </row>
    <row r="470" spans="1:17">
      <c r="A470" s="12"/>
      <c r="B470" s="13">
        <f t="shared" si="212"/>
        <v>2027</v>
      </c>
      <c r="C470" s="60">
        <f t="shared" ref="C470:H470" si="225">C363*0.9</f>
        <v>37.908000000000001</v>
      </c>
      <c r="D470" s="60">
        <f t="shared" si="225"/>
        <v>32.292000000000002</v>
      </c>
      <c r="E470" s="60">
        <f t="shared" si="225"/>
        <v>30.888000000000002</v>
      </c>
      <c r="F470" s="60">
        <f t="shared" si="225"/>
        <v>28.782000000000004</v>
      </c>
      <c r="G470" s="60">
        <f t="shared" si="225"/>
        <v>39.663000000000004</v>
      </c>
      <c r="H470" s="60">
        <f t="shared" si="225"/>
        <v>0</v>
      </c>
      <c r="J470" s="12"/>
      <c r="K470" s="13">
        <f t="shared" si="209"/>
        <v>2027</v>
      </c>
      <c r="L470" s="60">
        <f t="shared" si="223"/>
        <v>35.64</v>
      </c>
      <c r="M470" s="60">
        <f t="shared" si="223"/>
        <v>30.360000000000003</v>
      </c>
      <c r="N470" s="60">
        <f t="shared" si="223"/>
        <v>29.04</v>
      </c>
      <c r="O470" s="60">
        <f t="shared" si="223"/>
        <v>27.060000000000002</v>
      </c>
      <c r="P470" s="60">
        <f t="shared" si="223"/>
        <v>37.29</v>
      </c>
      <c r="Q470" s="60">
        <f t="shared" si="211"/>
        <v>0</v>
      </c>
    </row>
    <row r="471" spans="1:17">
      <c r="A471" s="12"/>
      <c r="B471" s="13">
        <f t="shared" si="212"/>
        <v>2028</v>
      </c>
      <c r="C471" s="60">
        <f t="shared" ref="C471:H471" si="226">C364*0.9</f>
        <v>37.908000000000001</v>
      </c>
      <c r="D471" s="60">
        <f t="shared" si="226"/>
        <v>32.292000000000002</v>
      </c>
      <c r="E471" s="60">
        <f t="shared" si="226"/>
        <v>30.888000000000002</v>
      </c>
      <c r="F471" s="60">
        <f t="shared" si="226"/>
        <v>28.782000000000004</v>
      </c>
      <c r="G471" s="60">
        <f t="shared" si="226"/>
        <v>39.663000000000004</v>
      </c>
      <c r="H471" s="60">
        <f t="shared" si="226"/>
        <v>0</v>
      </c>
      <c r="J471" s="12"/>
      <c r="K471" s="13">
        <f t="shared" si="209"/>
        <v>2028</v>
      </c>
      <c r="L471" s="60">
        <f t="shared" si="223"/>
        <v>35.64</v>
      </c>
      <c r="M471" s="60">
        <f t="shared" si="223"/>
        <v>30.360000000000003</v>
      </c>
      <c r="N471" s="60">
        <f t="shared" si="223"/>
        <v>29.04</v>
      </c>
      <c r="O471" s="60">
        <f t="shared" si="223"/>
        <v>27.060000000000002</v>
      </c>
      <c r="P471" s="60">
        <f t="shared" si="223"/>
        <v>37.29</v>
      </c>
      <c r="Q471" s="60">
        <f t="shared" si="211"/>
        <v>0</v>
      </c>
    </row>
    <row r="472" spans="1:17">
      <c r="A472" s="12"/>
      <c r="B472" s="13">
        <f t="shared" si="212"/>
        <v>2029</v>
      </c>
      <c r="C472" s="60">
        <f t="shared" ref="C472:H472" si="227">C365*0.9</f>
        <v>37.908000000000001</v>
      </c>
      <c r="D472" s="60">
        <f t="shared" si="227"/>
        <v>32.292000000000002</v>
      </c>
      <c r="E472" s="60">
        <f t="shared" si="227"/>
        <v>30.888000000000002</v>
      </c>
      <c r="F472" s="60">
        <f t="shared" si="227"/>
        <v>28.782000000000004</v>
      </c>
      <c r="G472" s="60">
        <f t="shared" si="227"/>
        <v>39.663000000000004</v>
      </c>
      <c r="H472" s="60">
        <f t="shared" si="227"/>
        <v>0</v>
      </c>
      <c r="J472" s="12"/>
      <c r="K472" s="13">
        <f t="shared" si="209"/>
        <v>2029</v>
      </c>
      <c r="L472" s="60">
        <f t="shared" si="223"/>
        <v>35.64</v>
      </c>
      <c r="M472" s="60">
        <f t="shared" si="223"/>
        <v>30.360000000000003</v>
      </c>
      <c r="N472" s="60">
        <f t="shared" si="223"/>
        <v>29.04</v>
      </c>
      <c r="O472" s="60">
        <f t="shared" si="223"/>
        <v>27.060000000000002</v>
      </c>
      <c r="P472" s="60">
        <f t="shared" si="223"/>
        <v>37.29</v>
      </c>
      <c r="Q472" s="60">
        <f t="shared" si="211"/>
        <v>0</v>
      </c>
    </row>
    <row r="473" spans="1:17">
      <c r="A473" s="12"/>
      <c r="B473" s="13">
        <f t="shared" si="212"/>
        <v>2030</v>
      </c>
      <c r="C473" s="60">
        <f t="shared" ref="C473:H473" si="228">C366*0.9</f>
        <v>37.908000000000001</v>
      </c>
      <c r="D473" s="60">
        <f t="shared" si="228"/>
        <v>32.292000000000002</v>
      </c>
      <c r="E473" s="60">
        <f t="shared" si="228"/>
        <v>30.888000000000002</v>
      </c>
      <c r="F473" s="60">
        <f t="shared" si="228"/>
        <v>28.782000000000004</v>
      </c>
      <c r="G473" s="60">
        <f t="shared" si="228"/>
        <v>39.663000000000004</v>
      </c>
      <c r="H473" s="60">
        <f t="shared" si="228"/>
        <v>0</v>
      </c>
      <c r="J473" s="12"/>
      <c r="K473" s="13">
        <f t="shared" si="209"/>
        <v>2030</v>
      </c>
      <c r="L473" s="60">
        <f t="shared" si="223"/>
        <v>35.64</v>
      </c>
      <c r="M473" s="60">
        <f t="shared" si="223"/>
        <v>30.360000000000003</v>
      </c>
      <c r="N473" s="60">
        <f t="shared" si="223"/>
        <v>29.04</v>
      </c>
      <c r="O473" s="60">
        <f t="shared" si="223"/>
        <v>27.060000000000002</v>
      </c>
      <c r="P473" s="60">
        <f t="shared" si="223"/>
        <v>37.29</v>
      </c>
      <c r="Q473" s="60">
        <f t="shared" si="211"/>
        <v>0</v>
      </c>
    </row>
    <row r="474" spans="1:17">
      <c r="A474" s="12"/>
      <c r="B474" s="13">
        <f t="shared" si="212"/>
        <v>2031</v>
      </c>
      <c r="C474" s="60">
        <f t="shared" ref="C474:H474" si="229">C367*0.9</f>
        <v>37.908000000000001</v>
      </c>
      <c r="D474" s="60">
        <f t="shared" si="229"/>
        <v>32.292000000000002</v>
      </c>
      <c r="E474" s="60">
        <f t="shared" si="229"/>
        <v>30.888000000000002</v>
      </c>
      <c r="F474" s="60">
        <f t="shared" si="229"/>
        <v>28.782000000000004</v>
      </c>
      <c r="G474" s="60">
        <f t="shared" si="229"/>
        <v>39.663000000000004</v>
      </c>
      <c r="H474" s="60">
        <f t="shared" si="229"/>
        <v>0</v>
      </c>
      <c r="J474" s="12"/>
      <c r="K474" s="13">
        <f t="shared" si="209"/>
        <v>2031</v>
      </c>
      <c r="L474" s="60">
        <f t="shared" si="223"/>
        <v>35.64</v>
      </c>
      <c r="M474" s="60">
        <f t="shared" si="223"/>
        <v>30.360000000000003</v>
      </c>
      <c r="N474" s="60">
        <f t="shared" si="223"/>
        <v>29.04</v>
      </c>
      <c r="O474" s="60">
        <f t="shared" si="223"/>
        <v>27.060000000000002</v>
      </c>
      <c r="P474" s="60">
        <f t="shared" si="223"/>
        <v>37.29</v>
      </c>
      <c r="Q474" s="60">
        <f t="shared" si="211"/>
        <v>0</v>
      </c>
    </row>
    <row r="475" spans="1:17">
      <c r="A475" s="12"/>
      <c r="B475" s="13">
        <f t="shared" si="212"/>
        <v>2032</v>
      </c>
      <c r="C475" s="60">
        <f t="shared" ref="C475:H475" si="230">C368*0.9</f>
        <v>37.908000000000001</v>
      </c>
      <c r="D475" s="60">
        <f t="shared" si="230"/>
        <v>32.292000000000002</v>
      </c>
      <c r="E475" s="60">
        <f t="shared" si="230"/>
        <v>30.888000000000002</v>
      </c>
      <c r="F475" s="60">
        <f t="shared" si="230"/>
        <v>28.782000000000004</v>
      </c>
      <c r="G475" s="60">
        <f t="shared" si="230"/>
        <v>39.663000000000004</v>
      </c>
      <c r="H475" s="60">
        <f t="shared" si="230"/>
        <v>0</v>
      </c>
      <c r="J475" s="12"/>
      <c r="K475" s="13">
        <f t="shared" si="209"/>
        <v>2032</v>
      </c>
      <c r="L475" s="60">
        <f t="shared" si="223"/>
        <v>35.64</v>
      </c>
      <c r="M475" s="60">
        <f t="shared" si="223"/>
        <v>30.360000000000003</v>
      </c>
      <c r="N475" s="60">
        <f t="shared" si="223"/>
        <v>29.04</v>
      </c>
      <c r="O475" s="60">
        <f t="shared" si="223"/>
        <v>27.060000000000002</v>
      </c>
      <c r="P475" s="60">
        <f t="shared" si="223"/>
        <v>37.29</v>
      </c>
      <c r="Q475" s="60">
        <f t="shared" si="211"/>
        <v>0</v>
      </c>
    </row>
    <row r="476" spans="1:17">
      <c r="A476" s="12"/>
      <c r="B476" s="13">
        <f t="shared" si="212"/>
        <v>2033</v>
      </c>
      <c r="C476" s="60">
        <f t="shared" ref="C476:H476" si="231">C369*0.9</f>
        <v>37.908000000000001</v>
      </c>
      <c r="D476" s="60">
        <f t="shared" si="231"/>
        <v>32.292000000000002</v>
      </c>
      <c r="E476" s="60">
        <f t="shared" si="231"/>
        <v>30.888000000000002</v>
      </c>
      <c r="F476" s="60">
        <f t="shared" si="231"/>
        <v>28.782000000000004</v>
      </c>
      <c r="G476" s="60">
        <f t="shared" si="231"/>
        <v>39.663000000000004</v>
      </c>
      <c r="H476" s="60">
        <f t="shared" si="231"/>
        <v>0</v>
      </c>
      <c r="J476" s="12"/>
      <c r="K476" s="13">
        <f t="shared" si="209"/>
        <v>2033</v>
      </c>
      <c r="L476" s="60">
        <f t="shared" si="223"/>
        <v>35.64</v>
      </c>
      <c r="M476" s="60">
        <f t="shared" si="223"/>
        <v>30.360000000000003</v>
      </c>
      <c r="N476" s="60">
        <f t="shared" si="223"/>
        <v>29.04</v>
      </c>
      <c r="O476" s="60">
        <f t="shared" si="223"/>
        <v>27.060000000000002</v>
      </c>
      <c r="P476" s="60">
        <f t="shared" si="223"/>
        <v>37.29</v>
      </c>
      <c r="Q476" s="60">
        <f t="shared" si="211"/>
        <v>0</v>
      </c>
    </row>
    <row r="477" spans="1:17">
      <c r="A477" s="12"/>
      <c r="B477" s="13">
        <f t="shared" si="212"/>
        <v>2034</v>
      </c>
      <c r="C477" s="60">
        <f t="shared" ref="C477:H477" si="232">C370*0.9</f>
        <v>37.908000000000001</v>
      </c>
      <c r="D477" s="60">
        <f t="shared" si="232"/>
        <v>32.292000000000002</v>
      </c>
      <c r="E477" s="60">
        <f t="shared" si="232"/>
        <v>30.888000000000002</v>
      </c>
      <c r="F477" s="60">
        <f t="shared" si="232"/>
        <v>28.782000000000004</v>
      </c>
      <c r="G477" s="60">
        <f t="shared" si="232"/>
        <v>39.663000000000004</v>
      </c>
      <c r="H477" s="60">
        <f t="shared" si="232"/>
        <v>0</v>
      </c>
      <c r="J477" s="12"/>
      <c r="K477" s="13">
        <f t="shared" si="209"/>
        <v>2034</v>
      </c>
      <c r="L477" s="60">
        <f t="shared" si="223"/>
        <v>35.64</v>
      </c>
      <c r="M477" s="60">
        <f t="shared" si="223"/>
        <v>30.360000000000003</v>
      </c>
      <c r="N477" s="60">
        <f t="shared" si="223"/>
        <v>29.04</v>
      </c>
      <c r="O477" s="60">
        <f t="shared" si="223"/>
        <v>27.060000000000002</v>
      </c>
      <c r="P477" s="60">
        <f t="shared" si="223"/>
        <v>37.29</v>
      </c>
      <c r="Q477" s="60">
        <f t="shared" si="211"/>
        <v>0</v>
      </c>
    </row>
    <row r="478" spans="1:17">
      <c r="A478" s="12"/>
      <c r="B478" s="13">
        <f t="shared" si="212"/>
        <v>2035</v>
      </c>
      <c r="C478" s="60">
        <f t="shared" ref="C478:H478" si="233">C371*0.9</f>
        <v>37.908000000000001</v>
      </c>
      <c r="D478" s="60">
        <f t="shared" si="233"/>
        <v>32.292000000000002</v>
      </c>
      <c r="E478" s="60">
        <f t="shared" si="233"/>
        <v>30.888000000000002</v>
      </c>
      <c r="F478" s="60">
        <f t="shared" si="233"/>
        <v>28.782000000000004</v>
      </c>
      <c r="G478" s="60">
        <f t="shared" si="233"/>
        <v>39.663000000000004</v>
      </c>
      <c r="H478" s="60">
        <f t="shared" si="233"/>
        <v>0</v>
      </c>
      <c r="J478" s="12"/>
      <c r="K478" s="13">
        <f t="shared" si="209"/>
        <v>2035</v>
      </c>
      <c r="L478" s="60">
        <f t="shared" ref="L478:P487" si="234">L371*1.1</f>
        <v>35.64</v>
      </c>
      <c r="M478" s="60">
        <f t="shared" si="234"/>
        <v>30.360000000000003</v>
      </c>
      <c r="N478" s="60">
        <f t="shared" si="234"/>
        <v>29.04</v>
      </c>
      <c r="O478" s="60">
        <f t="shared" si="234"/>
        <v>27.060000000000002</v>
      </c>
      <c r="P478" s="60">
        <f t="shared" si="234"/>
        <v>37.29</v>
      </c>
      <c r="Q478" s="60">
        <f t="shared" si="211"/>
        <v>0</v>
      </c>
    </row>
    <row r="479" spans="1:17">
      <c r="A479" s="12"/>
      <c r="B479" s="13">
        <f t="shared" si="212"/>
        <v>2036</v>
      </c>
      <c r="C479" s="60">
        <f t="shared" ref="C479:H479" si="235">C372*0.9</f>
        <v>37.908000000000001</v>
      </c>
      <c r="D479" s="60">
        <f t="shared" si="235"/>
        <v>32.292000000000002</v>
      </c>
      <c r="E479" s="60">
        <f t="shared" si="235"/>
        <v>30.888000000000002</v>
      </c>
      <c r="F479" s="60">
        <f t="shared" si="235"/>
        <v>28.782000000000004</v>
      </c>
      <c r="G479" s="60">
        <f t="shared" si="235"/>
        <v>39.663000000000004</v>
      </c>
      <c r="H479" s="60">
        <f t="shared" si="235"/>
        <v>0</v>
      </c>
      <c r="J479" s="12"/>
      <c r="K479" s="13">
        <f t="shared" si="209"/>
        <v>2036</v>
      </c>
      <c r="L479" s="60">
        <f t="shared" si="234"/>
        <v>35.64</v>
      </c>
      <c r="M479" s="60">
        <f t="shared" si="234"/>
        <v>30.360000000000003</v>
      </c>
      <c r="N479" s="60">
        <f t="shared" si="234"/>
        <v>29.04</v>
      </c>
      <c r="O479" s="60">
        <f t="shared" si="234"/>
        <v>27.060000000000002</v>
      </c>
      <c r="P479" s="60">
        <f t="shared" si="234"/>
        <v>37.29</v>
      </c>
      <c r="Q479" s="60">
        <f t="shared" si="211"/>
        <v>0</v>
      </c>
    </row>
    <row r="480" spans="1:17">
      <c r="A480" s="12"/>
      <c r="B480" s="13">
        <f t="shared" si="212"/>
        <v>2037</v>
      </c>
      <c r="C480" s="60">
        <f t="shared" ref="C480:H480" si="236">C373*0.9</f>
        <v>37.908000000000001</v>
      </c>
      <c r="D480" s="60">
        <f t="shared" si="236"/>
        <v>32.292000000000002</v>
      </c>
      <c r="E480" s="60">
        <f t="shared" si="236"/>
        <v>30.888000000000002</v>
      </c>
      <c r="F480" s="60">
        <f t="shared" si="236"/>
        <v>28.782000000000004</v>
      </c>
      <c r="G480" s="60">
        <f t="shared" si="236"/>
        <v>39.663000000000004</v>
      </c>
      <c r="H480" s="60">
        <f t="shared" si="236"/>
        <v>0</v>
      </c>
      <c r="J480" s="12"/>
      <c r="K480" s="13">
        <f t="shared" si="209"/>
        <v>2037</v>
      </c>
      <c r="L480" s="60">
        <f t="shared" si="234"/>
        <v>35.64</v>
      </c>
      <c r="M480" s="60">
        <f t="shared" si="234"/>
        <v>30.360000000000003</v>
      </c>
      <c r="N480" s="60">
        <f t="shared" si="234"/>
        <v>29.04</v>
      </c>
      <c r="O480" s="60">
        <f t="shared" si="234"/>
        <v>27.060000000000002</v>
      </c>
      <c r="P480" s="60">
        <f t="shared" si="234"/>
        <v>37.29</v>
      </c>
      <c r="Q480" s="60">
        <f t="shared" si="211"/>
        <v>0</v>
      </c>
    </row>
    <row r="481" spans="1:17">
      <c r="A481" s="12"/>
      <c r="B481" s="13">
        <f t="shared" si="212"/>
        <v>2038</v>
      </c>
      <c r="C481" s="60">
        <f t="shared" ref="C481:H481" si="237">C374*0.9</f>
        <v>37.908000000000001</v>
      </c>
      <c r="D481" s="60">
        <f t="shared" si="237"/>
        <v>32.292000000000002</v>
      </c>
      <c r="E481" s="60">
        <f t="shared" si="237"/>
        <v>30.888000000000002</v>
      </c>
      <c r="F481" s="60">
        <f t="shared" si="237"/>
        <v>28.782000000000004</v>
      </c>
      <c r="G481" s="60">
        <f t="shared" si="237"/>
        <v>39.663000000000004</v>
      </c>
      <c r="H481" s="60">
        <f t="shared" si="237"/>
        <v>0</v>
      </c>
      <c r="J481" s="12"/>
      <c r="K481" s="13">
        <f t="shared" si="209"/>
        <v>2038</v>
      </c>
      <c r="L481" s="60">
        <f t="shared" si="234"/>
        <v>35.64</v>
      </c>
      <c r="M481" s="60">
        <f t="shared" si="234"/>
        <v>30.360000000000003</v>
      </c>
      <c r="N481" s="60">
        <f t="shared" si="234"/>
        <v>29.04</v>
      </c>
      <c r="O481" s="60">
        <f t="shared" si="234"/>
        <v>27.060000000000002</v>
      </c>
      <c r="P481" s="60">
        <f t="shared" si="234"/>
        <v>37.29</v>
      </c>
      <c r="Q481" s="60">
        <f t="shared" si="211"/>
        <v>0</v>
      </c>
    </row>
    <row r="482" spans="1:17">
      <c r="A482" s="12"/>
      <c r="B482" s="13">
        <f t="shared" si="212"/>
        <v>2039</v>
      </c>
      <c r="C482" s="60">
        <f t="shared" ref="C482:H482" si="238">C375*0.9</f>
        <v>37.908000000000001</v>
      </c>
      <c r="D482" s="60">
        <f t="shared" si="238"/>
        <v>32.292000000000002</v>
      </c>
      <c r="E482" s="60">
        <f t="shared" si="238"/>
        <v>30.888000000000002</v>
      </c>
      <c r="F482" s="60">
        <f t="shared" si="238"/>
        <v>28.782000000000004</v>
      </c>
      <c r="G482" s="60">
        <f t="shared" si="238"/>
        <v>39.663000000000004</v>
      </c>
      <c r="H482" s="60">
        <f t="shared" si="238"/>
        <v>0</v>
      </c>
      <c r="J482" s="12"/>
      <c r="K482" s="13">
        <f t="shared" si="209"/>
        <v>2039</v>
      </c>
      <c r="L482" s="60">
        <f t="shared" si="234"/>
        <v>35.64</v>
      </c>
      <c r="M482" s="60">
        <f t="shared" si="234"/>
        <v>30.360000000000003</v>
      </c>
      <c r="N482" s="60">
        <f t="shared" si="234"/>
        <v>29.04</v>
      </c>
      <c r="O482" s="60">
        <f t="shared" si="234"/>
        <v>27.060000000000002</v>
      </c>
      <c r="P482" s="60">
        <f t="shared" si="234"/>
        <v>37.29</v>
      </c>
      <c r="Q482" s="60">
        <f t="shared" si="211"/>
        <v>0</v>
      </c>
    </row>
    <row r="483" spans="1:17">
      <c r="A483" s="12"/>
      <c r="B483" s="13">
        <f t="shared" si="212"/>
        <v>2040</v>
      </c>
      <c r="C483" s="60">
        <f t="shared" ref="C483:G487" si="239">C376*0.9</f>
        <v>37.908000000000001</v>
      </c>
      <c r="D483" s="60">
        <f t="shared" si="239"/>
        <v>32.292000000000002</v>
      </c>
      <c r="E483" s="60">
        <f t="shared" si="239"/>
        <v>30.888000000000002</v>
      </c>
      <c r="F483" s="60">
        <f t="shared" si="239"/>
        <v>28.782000000000004</v>
      </c>
      <c r="G483" s="60">
        <f t="shared" si="239"/>
        <v>39.663000000000004</v>
      </c>
      <c r="H483" s="60">
        <v>6</v>
      </c>
      <c r="J483" s="12"/>
      <c r="K483" s="13">
        <f t="shared" si="209"/>
        <v>2040</v>
      </c>
      <c r="L483" s="60">
        <f t="shared" si="234"/>
        <v>35.64</v>
      </c>
      <c r="M483" s="60">
        <f t="shared" si="234"/>
        <v>30.360000000000003</v>
      </c>
      <c r="N483" s="60">
        <f t="shared" si="234"/>
        <v>29.04</v>
      </c>
      <c r="O483" s="60">
        <f t="shared" si="234"/>
        <v>27.060000000000002</v>
      </c>
      <c r="P483" s="60">
        <f t="shared" si="234"/>
        <v>37.29</v>
      </c>
      <c r="Q483" s="60">
        <v>8</v>
      </c>
    </row>
    <row r="484" spans="1:17">
      <c r="A484" s="12"/>
      <c r="B484" s="13">
        <f t="shared" si="212"/>
        <v>2041</v>
      </c>
      <c r="C484" s="60">
        <f t="shared" si="239"/>
        <v>37.908000000000001</v>
      </c>
      <c r="D484" s="60">
        <f t="shared" si="239"/>
        <v>32.292000000000002</v>
      </c>
      <c r="E484" s="60">
        <f t="shared" si="239"/>
        <v>30.888000000000002</v>
      </c>
      <c r="F484" s="60">
        <f t="shared" si="239"/>
        <v>28.782000000000004</v>
      </c>
      <c r="G484" s="60">
        <f t="shared" si="239"/>
        <v>39.663000000000004</v>
      </c>
      <c r="H484" s="60">
        <v>6</v>
      </c>
      <c r="J484" s="12"/>
      <c r="K484" s="13">
        <f t="shared" si="209"/>
        <v>2041</v>
      </c>
      <c r="L484" s="60">
        <f t="shared" si="234"/>
        <v>35.64</v>
      </c>
      <c r="M484" s="60">
        <f t="shared" si="234"/>
        <v>30.360000000000003</v>
      </c>
      <c r="N484" s="60">
        <f t="shared" si="234"/>
        <v>29.04</v>
      </c>
      <c r="O484" s="60">
        <f t="shared" si="234"/>
        <v>27.060000000000002</v>
      </c>
      <c r="P484" s="60">
        <f t="shared" si="234"/>
        <v>37.29</v>
      </c>
      <c r="Q484" s="60">
        <v>8</v>
      </c>
    </row>
    <row r="485" spans="1:17">
      <c r="A485" s="12"/>
      <c r="B485" s="13">
        <f t="shared" si="212"/>
        <v>2042</v>
      </c>
      <c r="C485" s="60">
        <f t="shared" si="239"/>
        <v>37.908000000000001</v>
      </c>
      <c r="D485" s="60">
        <f t="shared" si="239"/>
        <v>32.292000000000002</v>
      </c>
      <c r="E485" s="60">
        <f t="shared" si="239"/>
        <v>30.888000000000002</v>
      </c>
      <c r="F485" s="60">
        <f t="shared" si="239"/>
        <v>28.782000000000004</v>
      </c>
      <c r="G485" s="60">
        <f t="shared" si="239"/>
        <v>39.663000000000004</v>
      </c>
      <c r="H485" s="60">
        <v>6</v>
      </c>
      <c r="J485" s="12"/>
      <c r="K485" s="13">
        <f t="shared" si="209"/>
        <v>2042</v>
      </c>
      <c r="L485" s="60">
        <f t="shared" si="234"/>
        <v>35.64</v>
      </c>
      <c r="M485" s="60">
        <f t="shared" si="234"/>
        <v>30.360000000000003</v>
      </c>
      <c r="N485" s="60">
        <f t="shared" si="234"/>
        <v>29.04</v>
      </c>
      <c r="O485" s="60">
        <f t="shared" si="234"/>
        <v>27.060000000000002</v>
      </c>
      <c r="P485" s="60">
        <f t="shared" si="234"/>
        <v>37.29</v>
      </c>
      <c r="Q485" s="60">
        <v>8</v>
      </c>
    </row>
    <row r="486" spans="1:17">
      <c r="A486" s="12"/>
      <c r="B486" s="13">
        <f t="shared" si="212"/>
        <v>2043</v>
      </c>
      <c r="C486" s="60">
        <f t="shared" si="239"/>
        <v>37.908000000000001</v>
      </c>
      <c r="D486" s="60">
        <f t="shared" si="239"/>
        <v>32.292000000000002</v>
      </c>
      <c r="E486" s="60">
        <f t="shared" si="239"/>
        <v>30.888000000000002</v>
      </c>
      <c r="F486" s="60">
        <f t="shared" si="239"/>
        <v>28.782000000000004</v>
      </c>
      <c r="G486" s="60">
        <f t="shared" si="239"/>
        <v>39.663000000000004</v>
      </c>
      <c r="H486" s="60">
        <v>6</v>
      </c>
      <c r="J486" s="12"/>
      <c r="K486" s="13">
        <f t="shared" si="209"/>
        <v>2043</v>
      </c>
      <c r="L486" s="60">
        <f t="shared" si="234"/>
        <v>35.64</v>
      </c>
      <c r="M486" s="60">
        <f t="shared" si="234"/>
        <v>30.360000000000003</v>
      </c>
      <c r="N486" s="60">
        <f t="shared" si="234"/>
        <v>29.04</v>
      </c>
      <c r="O486" s="60">
        <f t="shared" si="234"/>
        <v>27.060000000000002</v>
      </c>
      <c r="P486" s="60">
        <f t="shared" si="234"/>
        <v>37.29</v>
      </c>
      <c r="Q486" s="60">
        <v>8</v>
      </c>
    </row>
    <row r="487" spans="1:17">
      <c r="A487" s="43"/>
      <c r="B487" s="13">
        <f t="shared" si="212"/>
        <v>2044</v>
      </c>
      <c r="C487" s="60">
        <f t="shared" si="239"/>
        <v>37.908000000000001</v>
      </c>
      <c r="D487" s="60">
        <f t="shared" si="239"/>
        <v>32.292000000000002</v>
      </c>
      <c r="E487" s="60">
        <f t="shared" si="239"/>
        <v>30.888000000000002</v>
      </c>
      <c r="F487" s="60">
        <f t="shared" si="239"/>
        <v>28.782000000000004</v>
      </c>
      <c r="G487" s="60">
        <f t="shared" si="239"/>
        <v>39.663000000000004</v>
      </c>
      <c r="H487" s="60">
        <v>6</v>
      </c>
      <c r="J487" s="43"/>
      <c r="K487" s="13">
        <f t="shared" si="209"/>
        <v>2044</v>
      </c>
      <c r="L487" s="60">
        <f t="shared" si="234"/>
        <v>35.64</v>
      </c>
      <c r="M487" s="60">
        <f t="shared" si="234"/>
        <v>30.360000000000003</v>
      </c>
      <c r="N487" s="60">
        <f t="shared" si="234"/>
        <v>29.04</v>
      </c>
      <c r="O487" s="60">
        <f t="shared" si="234"/>
        <v>27.060000000000002</v>
      </c>
      <c r="P487" s="60">
        <f t="shared" si="234"/>
        <v>37.29</v>
      </c>
      <c r="Q487" s="60">
        <v>8</v>
      </c>
    </row>
    <row r="489" spans="1:17" s="2" customFormat="1" ht="27" customHeight="1">
      <c r="A489" s="1" t="s">
        <v>111</v>
      </c>
      <c r="E489" s="3"/>
    </row>
    <row r="491" spans="1:17" s="55" customFormat="1" ht="15.75" customHeight="1">
      <c r="A491" s="54" t="s">
        <v>112</v>
      </c>
    </row>
    <row r="493" spans="1:17">
      <c r="A493" s="143" t="s">
        <v>5</v>
      </c>
      <c r="B493" s="144"/>
      <c r="C493" s="6">
        <v>1</v>
      </c>
      <c r="D493" s="6">
        <v>2</v>
      </c>
    </row>
    <row r="494" spans="1:17" ht="21">
      <c r="A494" s="143" t="s">
        <v>6</v>
      </c>
      <c r="B494" s="144"/>
      <c r="C494" s="35" t="s">
        <v>113</v>
      </c>
      <c r="D494" s="35" t="s">
        <v>114</v>
      </c>
    </row>
    <row r="495" spans="1:17">
      <c r="A495" s="8"/>
      <c r="B495" s="8" t="s">
        <v>115</v>
      </c>
      <c r="C495" s="36" t="s">
        <v>24</v>
      </c>
      <c r="D495" s="36" t="s">
        <v>24</v>
      </c>
    </row>
    <row r="496" spans="1:17">
      <c r="A496" s="141" t="s">
        <v>116</v>
      </c>
      <c r="B496" s="142"/>
      <c r="C496" s="62">
        <v>4.7500000000000001E-2</v>
      </c>
      <c r="D496" s="63">
        <v>8.9999999999999993E-3</v>
      </c>
    </row>
    <row r="498" spans="1:7">
      <c r="A498" s="143" t="s">
        <v>5</v>
      </c>
      <c r="B498" s="144"/>
      <c r="C498" s="6">
        <v>2</v>
      </c>
      <c r="D498" s="6">
        <v>3</v>
      </c>
      <c r="E498" s="6">
        <v>4</v>
      </c>
    </row>
    <row r="499" spans="1:7" ht="42">
      <c r="A499" s="143" t="s">
        <v>6</v>
      </c>
      <c r="B499" s="144"/>
      <c r="C499" s="35" t="s">
        <v>117</v>
      </c>
      <c r="D499" s="35" t="s">
        <v>118</v>
      </c>
      <c r="E499" s="35" t="s">
        <v>119</v>
      </c>
    </row>
    <row r="500" spans="1:7">
      <c r="A500" s="8"/>
      <c r="B500" s="8" t="s">
        <v>115</v>
      </c>
      <c r="C500" s="36" t="s">
        <v>120</v>
      </c>
      <c r="D500" s="36" t="s">
        <v>121</v>
      </c>
      <c r="E500" s="36" t="s">
        <v>121</v>
      </c>
    </row>
    <row r="501" spans="1:7">
      <c r="A501" s="141" t="s">
        <v>122</v>
      </c>
      <c r="B501" s="142"/>
      <c r="C501" s="64">
        <v>0.14599999999999999</v>
      </c>
      <c r="D501" s="64">
        <v>7.6136524691782365E-2</v>
      </c>
      <c r="E501" s="64">
        <v>1.2417433171975918</v>
      </c>
    </row>
    <row r="503" spans="1:7" s="55" customFormat="1" ht="15.75" customHeight="1">
      <c r="A503" s="54" t="s">
        <v>123</v>
      </c>
    </row>
    <row r="505" spans="1:7">
      <c r="A505" s="143" t="s">
        <v>5</v>
      </c>
      <c r="B505" s="144"/>
      <c r="C505" s="6">
        <v>1</v>
      </c>
      <c r="D505" s="6">
        <v>2</v>
      </c>
      <c r="E505" s="6">
        <v>3</v>
      </c>
      <c r="F505" s="6">
        <v>4</v>
      </c>
      <c r="G505" s="6">
        <v>5</v>
      </c>
    </row>
    <row r="506" spans="1:7" ht="52.5">
      <c r="A506" s="143" t="s">
        <v>6</v>
      </c>
      <c r="B506" s="144"/>
      <c r="C506" s="35" t="s">
        <v>124</v>
      </c>
      <c r="D506" s="35" t="s">
        <v>125</v>
      </c>
      <c r="E506" s="35" t="s">
        <v>126</v>
      </c>
      <c r="F506" s="35" t="s">
        <v>127</v>
      </c>
      <c r="G506" s="35" t="s">
        <v>128</v>
      </c>
    </row>
    <row r="507" spans="1:7">
      <c r="A507" s="141" t="s">
        <v>129</v>
      </c>
      <c r="B507" s="142"/>
      <c r="C507" s="65">
        <v>1.7</v>
      </c>
      <c r="D507" s="65">
        <v>1.6</v>
      </c>
      <c r="E507" s="65">
        <v>2.2000000000000002</v>
      </c>
      <c r="F507" s="65">
        <f>AVERAGE(C507:E507)</f>
        <v>1.8333333333333333</v>
      </c>
      <c r="G507" s="65">
        <v>12</v>
      </c>
    </row>
    <row r="509" spans="1:7">
      <c r="A509" s="143" t="s">
        <v>5</v>
      </c>
      <c r="B509" s="144"/>
      <c r="C509" s="6">
        <v>1</v>
      </c>
      <c r="D509" s="6">
        <v>2</v>
      </c>
      <c r="E509" s="6">
        <v>3</v>
      </c>
      <c r="F509" s="6">
        <v>4</v>
      </c>
    </row>
    <row r="510" spans="1:7" ht="31.5">
      <c r="A510" s="143" t="s">
        <v>6</v>
      </c>
      <c r="B510" s="144"/>
      <c r="C510" s="35" t="s">
        <v>194</v>
      </c>
      <c r="D510" s="35" t="s">
        <v>195</v>
      </c>
      <c r="E510" s="35" t="s">
        <v>196</v>
      </c>
      <c r="F510" s="35" t="s">
        <v>197</v>
      </c>
    </row>
    <row r="511" spans="1:7">
      <c r="A511" s="8"/>
      <c r="B511" s="8" t="s">
        <v>115</v>
      </c>
      <c r="C511" s="82" t="s">
        <v>28</v>
      </c>
      <c r="D511" s="82" t="s">
        <v>28</v>
      </c>
      <c r="E511" s="82" t="s">
        <v>198</v>
      </c>
      <c r="F511" s="82" t="s">
        <v>28</v>
      </c>
    </row>
    <row r="512" spans="1:7" ht="38.25" customHeight="1">
      <c r="A512" s="141" t="s">
        <v>341</v>
      </c>
      <c r="B512" s="142"/>
      <c r="C512" s="65">
        <v>4.4000000000000004</v>
      </c>
      <c r="D512" s="65">
        <f>C512/1.08</f>
        <v>4.0740740740740744</v>
      </c>
      <c r="E512" s="65">
        <v>0.8</v>
      </c>
      <c r="F512" s="65">
        <f>D512*E512</f>
        <v>3.2592592592592595</v>
      </c>
    </row>
    <row r="513" spans="1:9" ht="37.5" customHeight="1">
      <c r="A513" s="141" t="s">
        <v>199</v>
      </c>
      <c r="B513" s="142"/>
      <c r="C513" s="65">
        <v>7.6</v>
      </c>
      <c r="D513" s="65">
        <f>C513/1.08</f>
        <v>7.0370370370370363</v>
      </c>
      <c r="E513" s="65">
        <v>0.8</v>
      </c>
      <c r="F513" s="65">
        <f>D513*E513</f>
        <v>5.6296296296296298</v>
      </c>
    </row>
    <row r="514" spans="1:9" ht="37.5" customHeight="1">
      <c r="A514" s="141" t="s">
        <v>200</v>
      </c>
      <c r="B514" s="142"/>
      <c r="C514" s="65">
        <v>8.1999999999999993</v>
      </c>
      <c r="D514" s="65">
        <f>C514/1.08</f>
        <v>7.5925925925925917</v>
      </c>
      <c r="E514" s="65">
        <v>0.8</v>
      </c>
      <c r="F514" s="65">
        <f>D514*E514</f>
        <v>6.0740740740740735</v>
      </c>
    </row>
    <row r="515" spans="1:9" ht="35.25" customHeight="1">
      <c r="A515" s="141" t="s">
        <v>339</v>
      </c>
      <c r="B515" s="142"/>
      <c r="C515" s="65">
        <v>9.8000000000000007</v>
      </c>
      <c r="D515" s="65">
        <f>C515/1.08</f>
        <v>9.0740740740740744</v>
      </c>
      <c r="E515" s="65">
        <v>0.8</v>
      </c>
      <c r="F515" s="65">
        <f>D515*E515</f>
        <v>7.2592592592592595</v>
      </c>
    </row>
    <row r="516" spans="1:9" ht="33.75" customHeight="1">
      <c r="A516" s="141" t="s">
        <v>340</v>
      </c>
      <c r="B516" s="142"/>
      <c r="C516" s="65">
        <v>10.6</v>
      </c>
      <c r="D516" s="65">
        <f>C516/1.08</f>
        <v>9.8148148148148131</v>
      </c>
      <c r="E516" s="65">
        <v>0.8</v>
      </c>
      <c r="F516" s="65">
        <f>D516*E516</f>
        <v>7.8518518518518512</v>
      </c>
    </row>
    <row r="518" spans="1:9" s="2" customFormat="1" ht="27" customHeight="1">
      <c r="A518" s="1" t="s">
        <v>130</v>
      </c>
      <c r="E518" s="3"/>
    </row>
    <row r="520" spans="1:9" s="55" customFormat="1" ht="15.75" customHeight="1">
      <c r="A520" s="54" t="s">
        <v>131</v>
      </c>
    </row>
    <row r="522" spans="1:9">
      <c r="A522" s="134" t="s">
        <v>5</v>
      </c>
      <c r="B522" s="134"/>
      <c r="C522" s="6">
        <v>1</v>
      </c>
      <c r="D522" s="6">
        <v>2</v>
      </c>
      <c r="E522" s="6">
        <v>3</v>
      </c>
      <c r="F522" s="6">
        <v>4</v>
      </c>
      <c r="G522" s="6">
        <v>5</v>
      </c>
      <c r="H522" s="6">
        <v>6</v>
      </c>
      <c r="I522" s="6">
        <v>7</v>
      </c>
    </row>
    <row r="523" spans="1:9" ht="42">
      <c r="A523" s="143" t="s">
        <v>6</v>
      </c>
      <c r="B523" s="144"/>
      <c r="C523" s="35" t="s">
        <v>132</v>
      </c>
      <c r="D523" s="35" t="s">
        <v>133</v>
      </c>
      <c r="E523" s="35" t="s">
        <v>134</v>
      </c>
      <c r="F523" s="35" t="s">
        <v>135</v>
      </c>
      <c r="G523" s="35" t="s">
        <v>136</v>
      </c>
      <c r="H523" s="35" t="s">
        <v>137</v>
      </c>
      <c r="I523" s="35" t="s">
        <v>138</v>
      </c>
    </row>
    <row r="524" spans="1:9">
      <c r="A524" s="8"/>
      <c r="B524" s="9" t="s">
        <v>22</v>
      </c>
      <c r="C524" s="36" t="s">
        <v>28</v>
      </c>
      <c r="D524" s="36" t="s">
        <v>28</v>
      </c>
      <c r="E524" s="36" t="s">
        <v>28</v>
      </c>
      <c r="F524" s="36" t="s">
        <v>24</v>
      </c>
      <c r="G524" s="36" t="s">
        <v>24</v>
      </c>
      <c r="H524" s="36" t="s">
        <v>24</v>
      </c>
      <c r="I524" s="36" t="s">
        <v>28</v>
      </c>
    </row>
    <row r="525" spans="1:9">
      <c r="A525" s="12"/>
      <c r="B525" s="13">
        <f>B166</f>
        <v>2014</v>
      </c>
      <c r="C525" s="37">
        <v>65.930000000000007</v>
      </c>
      <c r="D525" s="38">
        <v>33.46</v>
      </c>
      <c r="E525" s="38">
        <v>27.26</v>
      </c>
      <c r="F525" s="66">
        <v>0.1</v>
      </c>
      <c r="G525" s="66">
        <v>0.7</v>
      </c>
      <c r="H525" s="66">
        <v>0.2</v>
      </c>
      <c r="I525" s="39">
        <f t="shared" ref="I525:I555" si="240">F525*C525+G525*D525+H525*E525</f>
        <v>35.466999999999999</v>
      </c>
    </row>
    <row r="526" spans="1:9">
      <c r="A526" s="12"/>
      <c r="B526" s="13">
        <f t="shared" ref="B526:B555" si="241">B167</f>
        <v>2015</v>
      </c>
      <c r="C526" s="40">
        <v>68.510000000000005</v>
      </c>
      <c r="D526" s="41">
        <v>34.880000000000003</v>
      </c>
      <c r="E526" s="41">
        <v>28.31</v>
      </c>
      <c r="F526" s="67">
        <v>0.1</v>
      </c>
      <c r="G526" s="67">
        <v>0.7</v>
      </c>
      <c r="H526" s="67">
        <v>0.2</v>
      </c>
      <c r="I526" s="42">
        <f t="shared" si="240"/>
        <v>36.929000000000002</v>
      </c>
    </row>
    <row r="527" spans="1:9">
      <c r="A527" s="12"/>
      <c r="B527" s="13">
        <f t="shared" si="241"/>
        <v>2016</v>
      </c>
      <c r="C527" s="40">
        <v>71.180000000000007</v>
      </c>
      <c r="D527" s="41">
        <v>36.369999999999997</v>
      </c>
      <c r="E527" s="41">
        <v>29.44</v>
      </c>
      <c r="F527" s="67">
        <v>0.1</v>
      </c>
      <c r="G527" s="67">
        <v>0.7</v>
      </c>
      <c r="H527" s="67">
        <v>0.2</v>
      </c>
      <c r="I527" s="42">
        <f t="shared" si="240"/>
        <v>38.464999999999996</v>
      </c>
    </row>
    <row r="528" spans="1:9">
      <c r="A528" s="12"/>
      <c r="B528" s="13">
        <f t="shared" si="241"/>
        <v>2017</v>
      </c>
      <c r="C528" s="40">
        <v>73.989999999999995</v>
      </c>
      <c r="D528" s="41">
        <v>37.950000000000003</v>
      </c>
      <c r="E528" s="41">
        <v>30.59</v>
      </c>
      <c r="F528" s="67">
        <v>0.1</v>
      </c>
      <c r="G528" s="67">
        <v>0.7</v>
      </c>
      <c r="H528" s="67">
        <v>0.2</v>
      </c>
      <c r="I528" s="42">
        <f t="shared" si="240"/>
        <v>40.082000000000001</v>
      </c>
    </row>
    <row r="529" spans="1:9">
      <c r="A529" s="12"/>
      <c r="B529" s="13">
        <f t="shared" si="241"/>
        <v>2018</v>
      </c>
      <c r="C529" s="40">
        <v>76.92</v>
      </c>
      <c r="D529" s="41">
        <v>39.57</v>
      </c>
      <c r="E529" s="41">
        <v>31.81</v>
      </c>
      <c r="F529" s="67">
        <v>0.1</v>
      </c>
      <c r="G529" s="67">
        <v>0.7</v>
      </c>
      <c r="H529" s="67">
        <v>0.2</v>
      </c>
      <c r="I529" s="42">
        <f t="shared" si="240"/>
        <v>41.753</v>
      </c>
    </row>
    <row r="530" spans="1:9">
      <c r="A530" s="12"/>
      <c r="B530" s="13">
        <f t="shared" si="241"/>
        <v>2019</v>
      </c>
      <c r="C530" s="40">
        <v>79.959999999999994</v>
      </c>
      <c r="D530" s="41">
        <v>41.28</v>
      </c>
      <c r="E530" s="41">
        <v>33.07</v>
      </c>
      <c r="F530" s="67">
        <v>0.1</v>
      </c>
      <c r="G530" s="67">
        <v>0.7</v>
      </c>
      <c r="H530" s="67">
        <v>0.2</v>
      </c>
      <c r="I530" s="42">
        <f t="shared" si="240"/>
        <v>43.506</v>
      </c>
    </row>
    <row r="531" spans="1:9">
      <c r="A531" s="12"/>
      <c r="B531" s="13">
        <f t="shared" si="241"/>
        <v>2020</v>
      </c>
      <c r="C531" s="40">
        <v>82.14</v>
      </c>
      <c r="D531" s="41">
        <v>42.57</v>
      </c>
      <c r="E531" s="41">
        <v>33.99</v>
      </c>
      <c r="F531" s="67">
        <v>0.1</v>
      </c>
      <c r="G531" s="67">
        <v>0.7</v>
      </c>
      <c r="H531" s="67">
        <v>0.2</v>
      </c>
      <c r="I531" s="42">
        <f t="shared" si="240"/>
        <v>44.811</v>
      </c>
    </row>
    <row r="532" spans="1:9">
      <c r="A532" s="12"/>
      <c r="B532" s="13">
        <f t="shared" si="241"/>
        <v>2021</v>
      </c>
      <c r="C532" s="40">
        <v>84.41</v>
      </c>
      <c r="D532" s="41">
        <v>43.86</v>
      </c>
      <c r="E532" s="41">
        <v>34.909999999999997</v>
      </c>
      <c r="F532" s="67">
        <v>0.1</v>
      </c>
      <c r="G532" s="67">
        <v>0.7</v>
      </c>
      <c r="H532" s="67">
        <v>0.2</v>
      </c>
      <c r="I532" s="42">
        <f t="shared" si="240"/>
        <v>46.125</v>
      </c>
    </row>
    <row r="533" spans="1:9">
      <c r="A533" s="12"/>
      <c r="B533" s="13">
        <f t="shared" si="241"/>
        <v>2022</v>
      </c>
      <c r="C533" s="40">
        <v>86.72</v>
      </c>
      <c r="D533" s="41">
        <v>45.21</v>
      </c>
      <c r="E533" s="41">
        <v>35.869999999999997</v>
      </c>
      <c r="F533" s="67">
        <v>0.1</v>
      </c>
      <c r="G533" s="67">
        <v>0.7</v>
      </c>
      <c r="H533" s="67">
        <v>0.2</v>
      </c>
      <c r="I533" s="42">
        <f t="shared" si="240"/>
        <v>47.493000000000002</v>
      </c>
    </row>
    <row r="534" spans="1:9">
      <c r="A534" s="12"/>
      <c r="B534" s="13">
        <f t="shared" si="241"/>
        <v>2023</v>
      </c>
      <c r="C534" s="40">
        <v>89.13</v>
      </c>
      <c r="D534" s="41">
        <v>46.6</v>
      </c>
      <c r="E534" s="41">
        <v>36.86</v>
      </c>
      <c r="F534" s="67">
        <v>0.1</v>
      </c>
      <c r="G534" s="67">
        <v>0.7</v>
      </c>
      <c r="H534" s="67">
        <v>0.2</v>
      </c>
      <c r="I534" s="42">
        <f t="shared" si="240"/>
        <v>48.905000000000001</v>
      </c>
    </row>
    <row r="535" spans="1:9">
      <c r="A535" s="12"/>
      <c r="B535" s="13">
        <f t="shared" si="241"/>
        <v>2024</v>
      </c>
      <c r="C535" s="40">
        <v>91.64</v>
      </c>
      <c r="D535" s="41">
        <v>48.05</v>
      </c>
      <c r="E535" s="41">
        <v>37.92</v>
      </c>
      <c r="F535" s="67">
        <v>0.1</v>
      </c>
      <c r="G535" s="67">
        <v>0.7</v>
      </c>
      <c r="H535" s="67">
        <v>0.2</v>
      </c>
      <c r="I535" s="42">
        <f t="shared" si="240"/>
        <v>50.383000000000003</v>
      </c>
    </row>
    <row r="536" spans="1:9">
      <c r="A536" s="12"/>
      <c r="B536" s="13">
        <f t="shared" si="241"/>
        <v>2025</v>
      </c>
      <c r="C536" s="40">
        <v>94.22</v>
      </c>
      <c r="D536" s="41">
        <v>49.57</v>
      </c>
      <c r="E536" s="41">
        <v>38.97</v>
      </c>
      <c r="F536" s="67">
        <v>0.1</v>
      </c>
      <c r="G536" s="67">
        <v>0.7</v>
      </c>
      <c r="H536" s="67">
        <v>0.2</v>
      </c>
      <c r="I536" s="42">
        <f t="shared" si="240"/>
        <v>51.914999999999992</v>
      </c>
    </row>
    <row r="537" spans="1:9">
      <c r="A537" s="12"/>
      <c r="B537" s="13">
        <f t="shared" si="241"/>
        <v>2026</v>
      </c>
      <c r="C537" s="40">
        <v>96.89</v>
      </c>
      <c r="D537" s="41">
        <v>51.12</v>
      </c>
      <c r="E537" s="41">
        <v>40.1</v>
      </c>
      <c r="F537" s="67">
        <v>0.1</v>
      </c>
      <c r="G537" s="67">
        <v>0.7</v>
      </c>
      <c r="H537" s="67">
        <v>0.2</v>
      </c>
      <c r="I537" s="42">
        <f t="shared" si="240"/>
        <v>53.493000000000002</v>
      </c>
    </row>
    <row r="538" spans="1:9">
      <c r="A538" s="12"/>
      <c r="B538" s="13">
        <f t="shared" si="241"/>
        <v>2027</v>
      </c>
      <c r="C538" s="40">
        <v>98.6</v>
      </c>
      <c r="D538" s="41">
        <v>52.14</v>
      </c>
      <c r="E538" s="41">
        <v>40.79</v>
      </c>
      <c r="F538" s="67">
        <v>0.1</v>
      </c>
      <c r="G538" s="67">
        <v>0.7</v>
      </c>
      <c r="H538" s="67">
        <v>0.2</v>
      </c>
      <c r="I538" s="42">
        <f t="shared" si="240"/>
        <v>54.515999999999998</v>
      </c>
    </row>
    <row r="539" spans="1:9">
      <c r="A539" s="12"/>
      <c r="B539" s="13">
        <f t="shared" si="241"/>
        <v>2028</v>
      </c>
      <c r="C539" s="40">
        <v>100.39</v>
      </c>
      <c r="D539" s="41">
        <v>53.23</v>
      </c>
      <c r="E539" s="41">
        <v>41.51</v>
      </c>
      <c r="F539" s="67">
        <v>0.1</v>
      </c>
      <c r="G539" s="67">
        <v>0.7</v>
      </c>
      <c r="H539" s="67">
        <v>0.2</v>
      </c>
      <c r="I539" s="42">
        <f t="shared" si="240"/>
        <v>55.601999999999997</v>
      </c>
    </row>
    <row r="540" spans="1:9">
      <c r="A540" s="12"/>
      <c r="B540" s="13">
        <f t="shared" si="241"/>
        <v>2029</v>
      </c>
      <c r="C540" s="40">
        <v>102.2</v>
      </c>
      <c r="D540" s="41">
        <v>54.32</v>
      </c>
      <c r="E540" s="41">
        <v>42.27</v>
      </c>
      <c r="F540" s="67">
        <v>0.1</v>
      </c>
      <c r="G540" s="67">
        <v>0.7</v>
      </c>
      <c r="H540" s="67">
        <v>0.2</v>
      </c>
      <c r="I540" s="42">
        <f t="shared" si="240"/>
        <v>56.698</v>
      </c>
    </row>
    <row r="541" spans="1:9">
      <c r="A541" s="12"/>
      <c r="B541" s="13">
        <f t="shared" si="241"/>
        <v>2030</v>
      </c>
      <c r="C541" s="40">
        <v>104.05</v>
      </c>
      <c r="D541" s="41">
        <v>55.47</v>
      </c>
      <c r="E541" s="41">
        <v>43.03</v>
      </c>
      <c r="F541" s="67">
        <v>0.1</v>
      </c>
      <c r="G541" s="67">
        <v>0.7</v>
      </c>
      <c r="H541" s="67">
        <v>0.2</v>
      </c>
      <c r="I541" s="42">
        <f t="shared" si="240"/>
        <v>57.839999999999996</v>
      </c>
    </row>
    <row r="542" spans="1:9">
      <c r="A542" s="12"/>
      <c r="B542" s="13">
        <f t="shared" si="241"/>
        <v>2031</v>
      </c>
      <c r="C542" s="40">
        <v>105.96</v>
      </c>
      <c r="D542" s="41">
        <v>56.63</v>
      </c>
      <c r="E542" s="41">
        <v>43.82</v>
      </c>
      <c r="F542" s="67">
        <v>0.1</v>
      </c>
      <c r="G542" s="67">
        <v>0.7</v>
      </c>
      <c r="H542" s="67">
        <v>0.2</v>
      </c>
      <c r="I542" s="42">
        <f t="shared" si="240"/>
        <v>59.000999999999998</v>
      </c>
    </row>
    <row r="543" spans="1:9">
      <c r="A543" s="12"/>
      <c r="B543" s="13">
        <f t="shared" si="241"/>
        <v>2032</v>
      </c>
      <c r="C543" s="40">
        <v>107.91</v>
      </c>
      <c r="D543" s="41">
        <v>57.82</v>
      </c>
      <c r="E543" s="41">
        <v>44.65</v>
      </c>
      <c r="F543" s="67">
        <v>0.1</v>
      </c>
      <c r="G543" s="67">
        <v>0.7</v>
      </c>
      <c r="H543" s="67">
        <v>0.2</v>
      </c>
      <c r="I543" s="42">
        <f t="shared" si="240"/>
        <v>60.195</v>
      </c>
    </row>
    <row r="544" spans="1:9">
      <c r="A544" s="12"/>
      <c r="B544" s="13">
        <f t="shared" si="241"/>
        <v>2033</v>
      </c>
      <c r="C544" s="40">
        <v>109.16</v>
      </c>
      <c r="D544" s="41">
        <v>58.64</v>
      </c>
      <c r="E544" s="41">
        <v>45.18</v>
      </c>
      <c r="F544" s="67">
        <v>0.1</v>
      </c>
      <c r="G544" s="67">
        <v>0.7</v>
      </c>
      <c r="H544" s="67">
        <v>0.2</v>
      </c>
      <c r="I544" s="42">
        <f t="shared" si="240"/>
        <v>61</v>
      </c>
    </row>
    <row r="545" spans="1:9">
      <c r="A545" s="12"/>
      <c r="B545" s="13">
        <f t="shared" si="241"/>
        <v>2034</v>
      </c>
      <c r="C545" s="40">
        <v>110.48</v>
      </c>
      <c r="D545" s="41">
        <v>59.47</v>
      </c>
      <c r="E545" s="41">
        <v>45.71</v>
      </c>
      <c r="F545" s="67">
        <v>0.1</v>
      </c>
      <c r="G545" s="67">
        <v>0.7</v>
      </c>
      <c r="H545" s="67">
        <v>0.2</v>
      </c>
      <c r="I545" s="42">
        <f t="shared" si="240"/>
        <v>61.819000000000003</v>
      </c>
    </row>
    <row r="546" spans="1:9">
      <c r="A546" s="12"/>
      <c r="B546" s="13">
        <f t="shared" si="241"/>
        <v>2035</v>
      </c>
      <c r="C546" s="40">
        <v>111.8</v>
      </c>
      <c r="D546" s="41">
        <v>60.32</v>
      </c>
      <c r="E546" s="41">
        <v>46.27</v>
      </c>
      <c r="F546" s="67">
        <v>0.1</v>
      </c>
      <c r="G546" s="67">
        <v>0.7</v>
      </c>
      <c r="H546" s="67">
        <v>0.2</v>
      </c>
      <c r="I546" s="42">
        <f t="shared" si="240"/>
        <v>62.658000000000001</v>
      </c>
    </row>
    <row r="547" spans="1:9">
      <c r="A547" s="12"/>
      <c r="B547" s="13">
        <f t="shared" si="241"/>
        <v>2036</v>
      </c>
      <c r="C547" s="40">
        <v>113.16</v>
      </c>
      <c r="D547" s="41">
        <v>61.18</v>
      </c>
      <c r="E547" s="41">
        <v>46.83</v>
      </c>
      <c r="F547" s="67">
        <v>0.1</v>
      </c>
      <c r="G547" s="67">
        <v>0.7</v>
      </c>
      <c r="H547" s="67">
        <v>0.2</v>
      </c>
      <c r="I547" s="42">
        <f t="shared" si="240"/>
        <v>63.508000000000003</v>
      </c>
    </row>
    <row r="548" spans="1:9">
      <c r="A548" s="12"/>
      <c r="B548" s="13">
        <f t="shared" si="241"/>
        <v>2037</v>
      </c>
      <c r="C548" s="40">
        <v>114.54</v>
      </c>
      <c r="D548" s="41">
        <v>62.07</v>
      </c>
      <c r="E548" s="41">
        <v>47.39</v>
      </c>
      <c r="F548" s="67">
        <v>0.1</v>
      </c>
      <c r="G548" s="67">
        <v>0.7</v>
      </c>
      <c r="H548" s="67">
        <v>0.2</v>
      </c>
      <c r="I548" s="42">
        <f t="shared" si="240"/>
        <v>64.381</v>
      </c>
    </row>
    <row r="549" spans="1:9">
      <c r="A549" s="12"/>
      <c r="B549" s="13">
        <f t="shared" si="241"/>
        <v>2038</v>
      </c>
      <c r="C549" s="40">
        <v>115.96</v>
      </c>
      <c r="D549" s="41">
        <v>63</v>
      </c>
      <c r="E549" s="41">
        <v>47.98</v>
      </c>
      <c r="F549" s="67">
        <v>0.1</v>
      </c>
      <c r="G549" s="67">
        <v>0.7</v>
      </c>
      <c r="H549" s="67">
        <v>0.2</v>
      </c>
      <c r="I549" s="42">
        <f t="shared" si="240"/>
        <v>65.292000000000002</v>
      </c>
    </row>
    <row r="550" spans="1:9">
      <c r="A550" s="12"/>
      <c r="B550" s="13">
        <f t="shared" si="241"/>
        <v>2039</v>
      </c>
      <c r="C550" s="40">
        <v>117.45</v>
      </c>
      <c r="D550" s="41">
        <v>63.92</v>
      </c>
      <c r="E550" s="41">
        <v>48.58</v>
      </c>
      <c r="F550" s="67">
        <v>0.1</v>
      </c>
      <c r="G550" s="67">
        <v>0.7</v>
      </c>
      <c r="H550" s="67">
        <v>0.2</v>
      </c>
      <c r="I550" s="42">
        <f t="shared" si="240"/>
        <v>66.205000000000013</v>
      </c>
    </row>
    <row r="551" spans="1:9">
      <c r="A551" s="12"/>
      <c r="B551" s="13">
        <f t="shared" si="241"/>
        <v>2040</v>
      </c>
      <c r="C551" s="40">
        <v>118.93</v>
      </c>
      <c r="D551" s="41">
        <v>64.88</v>
      </c>
      <c r="E551" s="41">
        <v>49.2</v>
      </c>
      <c r="F551" s="67">
        <v>0.1</v>
      </c>
      <c r="G551" s="67">
        <v>0.7</v>
      </c>
      <c r="H551" s="67">
        <v>0.2</v>
      </c>
      <c r="I551" s="42">
        <f t="shared" si="240"/>
        <v>67.149000000000001</v>
      </c>
    </row>
    <row r="552" spans="1:9">
      <c r="A552" s="12"/>
      <c r="B552" s="13">
        <f t="shared" si="241"/>
        <v>2041</v>
      </c>
      <c r="C552" s="40">
        <v>120.38500000000001</v>
      </c>
      <c r="D552" s="41">
        <v>65.805000000000007</v>
      </c>
      <c r="E552" s="41">
        <v>49.795000000000002</v>
      </c>
      <c r="F552" s="67">
        <v>0.1</v>
      </c>
      <c r="G552" s="67">
        <v>0.7</v>
      </c>
      <c r="H552" s="67">
        <v>0.2</v>
      </c>
      <c r="I552" s="42">
        <f t="shared" si="240"/>
        <v>68.061000000000007</v>
      </c>
    </row>
    <row r="553" spans="1:9">
      <c r="A553" s="12"/>
      <c r="B553" s="13">
        <f t="shared" si="241"/>
        <v>2042</v>
      </c>
      <c r="C553" s="40">
        <v>121.851</v>
      </c>
      <c r="D553" s="41">
        <v>66.739999999999995</v>
      </c>
      <c r="E553" s="41">
        <v>50.398000000000003</v>
      </c>
      <c r="F553" s="67">
        <v>0.1</v>
      </c>
      <c r="G553" s="67">
        <v>0.7</v>
      </c>
      <c r="H553" s="67">
        <v>0.2</v>
      </c>
      <c r="I553" s="42">
        <f t="shared" si="240"/>
        <v>68.982699999999994</v>
      </c>
    </row>
    <row r="554" spans="1:9">
      <c r="A554" s="12"/>
      <c r="B554" s="13">
        <f t="shared" si="241"/>
        <v>2043</v>
      </c>
      <c r="C554" s="40">
        <v>127.37643103448301</v>
      </c>
      <c r="D554" s="41">
        <v>69.655628078817799</v>
      </c>
      <c r="E554" s="41">
        <v>52.700967980295502</v>
      </c>
      <c r="F554" s="67">
        <v>0.1</v>
      </c>
      <c r="G554" s="67">
        <v>0.7</v>
      </c>
      <c r="H554" s="67">
        <v>0.2</v>
      </c>
      <c r="I554" s="42">
        <f t="shared" si="240"/>
        <v>72.036776354679859</v>
      </c>
    </row>
    <row r="555" spans="1:9">
      <c r="A555" s="43"/>
      <c r="B555" s="13">
        <f t="shared" si="241"/>
        <v>2044</v>
      </c>
      <c r="C555" s="44">
        <v>129.35217931034501</v>
      </c>
      <c r="D555" s="45">
        <v>70.836980295566605</v>
      </c>
      <c r="E555" s="45">
        <v>53.518956650246402</v>
      </c>
      <c r="F555" s="68">
        <v>0.1</v>
      </c>
      <c r="G555" s="68">
        <v>0.7</v>
      </c>
      <c r="H555" s="68">
        <v>0.2</v>
      </c>
      <c r="I555" s="46">
        <f t="shared" si="240"/>
        <v>73.224895467980403</v>
      </c>
    </row>
    <row r="557" spans="1:9" s="55" customFormat="1" ht="15.75" customHeight="1">
      <c r="A557" s="54" t="s">
        <v>139</v>
      </c>
    </row>
    <row r="559" spans="1:9">
      <c r="A559" s="134" t="s">
        <v>5</v>
      </c>
      <c r="B559" s="134"/>
      <c r="C559" s="6">
        <v>1</v>
      </c>
      <c r="D559" s="6">
        <v>2</v>
      </c>
      <c r="E559" s="6">
        <v>3</v>
      </c>
    </row>
    <row r="560" spans="1:9" ht="73.5">
      <c r="A560" s="143" t="s">
        <v>6</v>
      </c>
      <c r="B560" s="144"/>
      <c r="C560" s="35" t="s">
        <v>140</v>
      </c>
      <c r="D560" s="35" t="s">
        <v>141</v>
      </c>
      <c r="E560" s="35" t="s">
        <v>142</v>
      </c>
    </row>
    <row r="561" spans="1:8">
      <c r="A561" s="8"/>
      <c r="B561" s="9" t="s">
        <v>22</v>
      </c>
      <c r="C561" s="36" t="s">
        <v>28</v>
      </c>
      <c r="D561" s="36" t="s">
        <v>28</v>
      </c>
      <c r="E561" s="36" t="s">
        <v>28</v>
      </c>
    </row>
    <row r="562" spans="1:8">
      <c r="A562" s="12"/>
      <c r="B562" s="13">
        <f t="shared" ref="B562:B592" si="242">B525</f>
        <v>2014</v>
      </c>
      <c r="C562" s="37">
        <v>2248775</v>
      </c>
      <c r="D562" s="38">
        <v>332795</v>
      </c>
      <c r="E562" s="39">
        <v>25836</v>
      </c>
      <c r="F562" s="4">
        <f t="shared" ref="F562:F592" si="243">E562*$C$501/1000000</f>
        <v>3.7720559999999998E-3</v>
      </c>
      <c r="G562" s="4">
        <f>$C$501/1000000*$D$501*C562</f>
        <v>2.4997231343809379E-2</v>
      </c>
      <c r="H562" s="4">
        <f>$C$501/1000000*$E$501*D562</f>
        <v>6.0333911218028786E-2</v>
      </c>
    </row>
    <row r="563" spans="1:8">
      <c r="A563" s="12"/>
      <c r="B563" s="13">
        <f t="shared" si="242"/>
        <v>2015</v>
      </c>
      <c r="C563" s="40">
        <v>2409271</v>
      </c>
      <c r="D563" s="41">
        <v>358413</v>
      </c>
      <c r="E563" s="42">
        <v>27968</v>
      </c>
      <c r="F563" s="4">
        <f t="shared" si="243"/>
        <v>4.0833279999999998E-3</v>
      </c>
      <c r="G563" s="4">
        <f t="shared" ref="G563:G592" si="244">$C$501/1000000*$D$501*C563</f>
        <v>2.6781294063181495E-2</v>
      </c>
      <c r="H563" s="4">
        <f t="shared" ref="H563:H592" si="245">$C$501/1000000*$E$501*D563</f>
        <v>6.4978314341824106E-2</v>
      </c>
    </row>
    <row r="564" spans="1:8">
      <c r="A564" s="12"/>
      <c r="B564" s="13">
        <f t="shared" si="242"/>
        <v>2016</v>
      </c>
      <c r="C564" s="40">
        <v>2569769</v>
      </c>
      <c r="D564" s="41">
        <v>384034</v>
      </c>
      <c r="E564" s="42">
        <v>30103</v>
      </c>
      <c r="F564" s="4">
        <f t="shared" si="243"/>
        <v>4.3950379999999995E-3</v>
      </c>
      <c r="G564" s="4">
        <f t="shared" si="244"/>
        <v>2.8565379014418822E-2</v>
      </c>
      <c r="H564" s="4">
        <f t="shared" si="245"/>
        <v>6.9623261349192347E-2</v>
      </c>
    </row>
    <row r="565" spans="1:8">
      <c r="A565" s="12"/>
      <c r="B565" s="13">
        <f t="shared" si="242"/>
        <v>2017</v>
      </c>
      <c r="C565" s="40">
        <v>2730265</v>
      </c>
      <c r="D565" s="41">
        <v>409655</v>
      </c>
      <c r="E565" s="42">
        <v>32238</v>
      </c>
      <c r="F565" s="4">
        <f t="shared" si="243"/>
        <v>4.7067479999999993E-3</v>
      </c>
      <c r="G565" s="4">
        <f t="shared" si="244"/>
        <v>3.0349441733790936E-2</v>
      </c>
      <c r="H565" s="4">
        <f t="shared" si="245"/>
        <v>7.4268208356560603E-2</v>
      </c>
    </row>
    <row r="566" spans="1:8">
      <c r="A566" s="12"/>
      <c r="B566" s="13">
        <f t="shared" si="242"/>
        <v>2018</v>
      </c>
      <c r="C566" s="40">
        <v>2890760</v>
      </c>
      <c r="D566" s="41">
        <v>435277</v>
      </c>
      <c r="E566" s="42">
        <v>34373</v>
      </c>
      <c r="F566" s="4">
        <f t="shared" si="243"/>
        <v>5.0184579999999999E-3</v>
      </c>
      <c r="G566" s="4">
        <f t="shared" si="244"/>
        <v>3.2133493337230451E-2</v>
      </c>
      <c r="H566" s="4">
        <f t="shared" si="245"/>
        <v>7.8913336658453154E-2</v>
      </c>
    </row>
    <row r="567" spans="1:8">
      <c r="A567" s="12"/>
      <c r="B567" s="13">
        <f t="shared" si="242"/>
        <v>2019</v>
      </c>
      <c r="C567" s="40">
        <v>3051256</v>
      </c>
      <c r="D567" s="41">
        <v>460898</v>
      </c>
      <c r="E567" s="42">
        <v>36508</v>
      </c>
      <c r="F567" s="4">
        <f t="shared" si="243"/>
        <v>5.3301679999999997E-3</v>
      </c>
      <c r="G567" s="4">
        <f t="shared" si="244"/>
        <v>3.3917556056602564E-2</v>
      </c>
      <c r="H567" s="4">
        <f t="shared" si="245"/>
        <v>8.3558283665821395E-2</v>
      </c>
    </row>
    <row r="568" spans="1:8">
      <c r="A568" s="12"/>
      <c r="B568" s="13">
        <f t="shared" si="242"/>
        <v>2020</v>
      </c>
      <c r="C568" s="40">
        <v>3211755</v>
      </c>
      <c r="D568" s="41">
        <v>486516</v>
      </c>
      <c r="E568" s="42">
        <v>38643</v>
      </c>
      <c r="F568" s="4">
        <f t="shared" si="243"/>
        <v>5.6418779999999995E-3</v>
      </c>
      <c r="G568" s="4">
        <f t="shared" si="244"/>
        <v>3.5701652123772493E-2</v>
      </c>
      <c r="H568" s="4">
        <f t="shared" si="245"/>
        <v>8.8202686789616722E-2</v>
      </c>
    </row>
    <row r="569" spans="1:8">
      <c r="A569" s="12"/>
      <c r="B569" s="13">
        <f t="shared" si="242"/>
        <v>2021</v>
      </c>
      <c r="C569" s="40">
        <v>3372250</v>
      </c>
      <c r="D569" s="41">
        <v>512137</v>
      </c>
      <c r="E569" s="42">
        <v>40778</v>
      </c>
      <c r="F569" s="4">
        <f t="shared" si="243"/>
        <v>5.9535880000000001E-3</v>
      </c>
      <c r="G569" s="4">
        <f t="shared" si="244"/>
        <v>3.7485703727212008E-2</v>
      </c>
      <c r="H569" s="4">
        <f t="shared" si="245"/>
        <v>9.2847633796984963E-2</v>
      </c>
    </row>
    <row r="570" spans="1:8">
      <c r="A570" s="12"/>
      <c r="B570" s="13">
        <f t="shared" si="242"/>
        <v>2022</v>
      </c>
      <c r="C570" s="40">
        <v>3532746</v>
      </c>
      <c r="D570" s="41">
        <v>537758</v>
      </c>
      <c r="E570" s="42">
        <v>42913</v>
      </c>
      <c r="F570" s="4">
        <f t="shared" si="243"/>
        <v>6.2652979999999999E-3</v>
      </c>
      <c r="G570" s="4">
        <f t="shared" si="244"/>
        <v>3.9269766446584121E-2</v>
      </c>
      <c r="H570" s="4">
        <f t="shared" si="245"/>
        <v>9.7492580804353204E-2</v>
      </c>
    </row>
    <row r="571" spans="1:8">
      <c r="A571" s="12"/>
      <c r="B571" s="13">
        <f t="shared" si="242"/>
        <v>2023</v>
      </c>
      <c r="C571" s="40">
        <v>3693245</v>
      </c>
      <c r="D571" s="41">
        <v>563379</v>
      </c>
      <c r="E571" s="42">
        <v>45048</v>
      </c>
      <c r="F571" s="4">
        <f t="shared" si="243"/>
        <v>6.5770079999999996E-3</v>
      </c>
      <c r="G571" s="4">
        <f t="shared" si="244"/>
        <v>4.105386251375405E-2</v>
      </c>
      <c r="H571" s="4">
        <f t="shared" si="245"/>
        <v>0.10213752781172146</v>
      </c>
    </row>
    <row r="572" spans="1:8">
      <c r="A572" s="12"/>
      <c r="B572" s="13">
        <f t="shared" si="242"/>
        <v>2024</v>
      </c>
      <c r="C572" s="40">
        <v>3853740</v>
      </c>
      <c r="D572" s="41">
        <v>589001</v>
      </c>
      <c r="E572" s="42">
        <v>47183</v>
      </c>
      <c r="F572" s="4">
        <f t="shared" si="243"/>
        <v>6.8887180000000003E-3</v>
      </c>
      <c r="G572" s="4">
        <f t="shared" si="244"/>
        <v>4.2837914117193565E-2</v>
      </c>
      <c r="H572" s="4">
        <f t="shared" si="245"/>
        <v>0.10678265611361401</v>
      </c>
    </row>
    <row r="573" spans="1:8">
      <c r="A573" s="12"/>
      <c r="B573" s="13">
        <f t="shared" si="242"/>
        <v>2025</v>
      </c>
      <c r="C573" s="40">
        <v>4014236</v>
      </c>
      <c r="D573" s="41">
        <v>614618</v>
      </c>
      <c r="E573" s="42">
        <v>49319</v>
      </c>
      <c r="F573" s="4">
        <f t="shared" si="243"/>
        <v>7.2005739999999995E-3</v>
      </c>
      <c r="G573" s="4">
        <f t="shared" si="244"/>
        <v>4.4621976836565679E-2</v>
      </c>
      <c r="H573" s="4">
        <f t="shared" si="245"/>
        <v>0.11142687794288501</v>
      </c>
    </row>
    <row r="574" spans="1:8">
      <c r="A574" s="12"/>
      <c r="B574" s="13">
        <f t="shared" si="242"/>
        <v>2026</v>
      </c>
      <c r="C574" s="40">
        <v>4174731</v>
      </c>
      <c r="D574" s="41">
        <v>640240</v>
      </c>
      <c r="E574" s="42">
        <v>51454</v>
      </c>
      <c r="F574" s="4">
        <f t="shared" si="243"/>
        <v>7.5122839999999993E-3</v>
      </c>
      <c r="G574" s="4">
        <f t="shared" si="244"/>
        <v>4.6406028440005194E-2</v>
      </c>
      <c r="H574" s="4">
        <f t="shared" si="245"/>
        <v>0.11607200624477758</v>
      </c>
    </row>
    <row r="575" spans="1:8">
      <c r="A575" s="12"/>
      <c r="B575" s="13">
        <f t="shared" si="242"/>
        <v>2027</v>
      </c>
      <c r="C575" s="40">
        <v>4335230</v>
      </c>
      <c r="D575" s="41">
        <v>665861</v>
      </c>
      <c r="E575" s="42">
        <v>53589</v>
      </c>
      <c r="F575" s="4">
        <f t="shared" si="243"/>
        <v>7.823993999999999E-3</v>
      </c>
      <c r="G575" s="4">
        <f t="shared" si="244"/>
        <v>4.8190124507175122E-2</v>
      </c>
      <c r="H575" s="4">
        <f t="shared" si="245"/>
        <v>0.12071695325214582</v>
      </c>
    </row>
    <row r="576" spans="1:8">
      <c r="A576" s="12"/>
      <c r="B576" s="13">
        <f t="shared" si="242"/>
        <v>2028</v>
      </c>
      <c r="C576" s="40">
        <v>4495725</v>
      </c>
      <c r="D576" s="41">
        <v>691482</v>
      </c>
      <c r="E576" s="42">
        <v>55724</v>
      </c>
      <c r="F576" s="4">
        <f t="shared" si="243"/>
        <v>8.1357040000000005E-3</v>
      </c>
      <c r="G576" s="4">
        <f t="shared" si="244"/>
        <v>4.9974176110614631E-2</v>
      </c>
      <c r="H576" s="4">
        <f t="shared" si="245"/>
        <v>0.12536190025951408</v>
      </c>
    </row>
    <row r="577" spans="1:8">
      <c r="A577" s="12"/>
      <c r="B577" s="13">
        <f t="shared" si="242"/>
        <v>2029</v>
      </c>
      <c r="C577" s="40">
        <v>4656221</v>
      </c>
      <c r="D577" s="41">
        <v>717103</v>
      </c>
      <c r="E577" s="42">
        <v>57859</v>
      </c>
      <c r="F577" s="4">
        <f t="shared" si="243"/>
        <v>8.4474139999999986E-3</v>
      </c>
      <c r="G577" s="4">
        <f t="shared" si="244"/>
        <v>5.1758238829986751E-2</v>
      </c>
      <c r="H577" s="4">
        <f t="shared" si="245"/>
        <v>0.1300068472668823</v>
      </c>
    </row>
    <row r="578" spans="1:8">
      <c r="A578" s="12"/>
      <c r="B578" s="13">
        <f t="shared" si="242"/>
        <v>2030</v>
      </c>
      <c r="C578" s="40">
        <v>4816720</v>
      </c>
      <c r="D578" s="41">
        <v>742724</v>
      </c>
      <c r="E578" s="42">
        <v>59994</v>
      </c>
      <c r="F578" s="4">
        <f t="shared" si="243"/>
        <v>8.7591240000000001E-3</v>
      </c>
      <c r="G578" s="4">
        <f t="shared" si="244"/>
        <v>5.3542334897156679E-2</v>
      </c>
      <c r="H578" s="4">
        <f t="shared" si="245"/>
        <v>0.13465179427425056</v>
      </c>
    </row>
    <row r="579" spans="1:8">
      <c r="A579" s="12"/>
      <c r="B579" s="13">
        <f t="shared" si="242"/>
        <v>2031</v>
      </c>
      <c r="C579" s="40">
        <v>4977215</v>
      </c>
      <c r="D579" s="41">
        <v>768342</v>
      </c>
      <c r="E579" s="42">
        <v>62126</v>
      </c>
      <c r="F579" s="4">
        <f t="shared" si="243"/>
        <v>9.0703959999999997E-3</v>
      </c>
      <c r="G579" s="4">
        <f t="shared" si="244"/>
        <v>5.5326386500596188E-2</v>
      </c>
      <c r="H579" s="4">
        <f t="shared" si="245"/>
        <v>0.13929619739804588</v>
      </c>
    </row>
    <row r="580" spans="1:8">
      <c r="A580" s="12"/>
      <c r="B580" s="13">
        <f t="shared" si="242"/>
        <v>2032</v>
      </c>
      <c r="C580" s="40">
        <v>5137711</v>
      </c>
      <c r="D580" s="41">
        <v>793964</v>
      </c>
      <c r="E580" s="42">
        <v>64261</v>
      </c>
      <c r="F580" s="4">
        <f t="shared" si="243"/>
        <v>9.3821059999999994E-3</v>
      </c>
      <c r="G580" s="4">
        <f t="shared" si="244"/>
        <v>5.7110449219968308E-2</v>
      </c>
      <c r="H580" s="4">
        <f t="shared" si="245"/>
        <v>0.14394132569993842</v>
      </c>
    </row>
    <row r="581" spans="1:8">
      <c r="A581" s="12"/>
      <c r="B581" s="13">
        <f t="shared" si="242"/>
        <v>2033</v>
      </c>
      <c r="C581" s="40">
        <v>5298206</v>
      </c>
      <c r="D581" s="41">
        <v>819585</v>
      </c>
      <c r="E581" s="42">
        <v>66396</v>
      </c>
      <c r="F581" s="4">
        <f t="shared" si="243"/>
        <v>9.6938159999999992E-3</v>
      </c>
      <c r="G581" s="4">
        <f t="shared" si="244"/>
        <v>5.8894500823407817E-2</v>
      </c>
      <c r="H581" s="4">
        <f t="shared" si="245"/>
        <v>0.14858627270730668</v>
      </c>
    </row>
    <row r="582" spans="1:8">
      <c r="A582" s="12"/>
      <c r="B582" s="13">
        <f t="shared" si="242"/>
        <v>2034</v>
      </c>
      <c r="C582" s="40">
        <v>5458705</v>
      </c>
      <c r="D582" s="41">
        <v>845206</v>
      </c>
      <c r="E582" s="42">
        <v>68531</v>
      </c>
      <c r="F582" s="4">
        <f t="shared" si="243"/>
        <v>1.0005526000000001E-2</v>
      </c>
      <c r="G582" s="4">
        <f t="shared" si="244"/>
        <v>6.0678596890577752E-2</v>
      </c>
      <c r="H582" s="4">
        <f t="shared" si="245"/>
        <v>0.15323121971467493</v>
      </c>
    </row>
    <row r="583" spans="1:8">
      <c r="A583" s="12"/>
      <c r="B583" s="13">
        <f t="shared" si="242"/>
        <v>2035</v>
      </c>
      <c r="C583" s="40">
        <v>5619200</v>
      </c>
      <c r="D583" s="41">
        <v>870827</v>
      </c>
      <c r="E583" s="42">
        <v>70666</v>
      </c>
      <c r="F583" s="4">
        <f t="shared" si="243"/>
        <v>1.0317235999999999E-2</v>
      </c>
      <c r="G583" s="4">
        <f t="shared" si="244"/>
        <v>6.246264849401726E-2</v>
      </c>
      <c r="H583" s="4">
        <f t="shared" si="245"/>
        <v>0.15787616672204316</v>
      </c>
    </row>
    <row r="584" spans="1:8">
      <c r="A584" s="12"/>
      <c r="B584" s="13">
        <f t="shared" si="242"/>
        <v>2036</v>
      </c>
      <c r="C584" s="40">
        <v>5779696</v>
      </c>
      <c r="D584" s="41">
        <v>896445</v>
      </c>
      <c r="E584" s="42">
        <v>72801</v>
      </c>
      <c r="F584" s="4">
        <f t="shared" si="243"/>
        <v>1.0628946E-2</v>
      </c>
      <c r="G584" s="4">
        <f t="shared" si="244"/>
        <v>6.4246711213389374E-2</v>
      </c>
      <c r="H584" s="4">
        <f t="shared" si="245"/>
        <v>0.16252056984583849</v>
      </c>
    </row>
    <row r="585" spans="1:8">
      <c r="A585" s="12"/>
      <c r="B585" s="13">
        <f t="shared" si="242"/>
        <v>2037</v>
      </c>
      <c r="C585" s="40">
        <v>5940195</v>
      </c>
      <c r="D585" s="41">
        <v>922066</v>
      </c>
      <c r="E585" s="42">
        <v>74936</v>
      </c>
      <c r="F585" s="4">
        <f t="shared" si="243"/>
        <v>1.0940655999999998E-2</v>
      </c>
      <c r="G585" s="4">
        <f t="shared" si="244"/>
        <v>6.6030807280559309E-2</v>
      </c>
      <c r="H585" s="4">
        <f t="shared" si="245"/>
        <v>0.16716551685320674</v>
      </c>
    </row>
    <row r="586" spans="1:8">
      <c r="A586" s="12"/>
      <c r="B586" s="13">
        <f t="shared" si="242"/>
        <v>2038</v>
      </c>
      <c r="C586" s="40">
        <v>6100690</v>
      </c>
      <c r="D586" s="41">
        <v>947687</v>
      </c>
      <c r="E586" s="42">
        <v>77072</v>
      </c>
      <c r="F586" s="4">
        <f t="shared" si="243"/>
        <v>1.1252511999999999E-2</v>
      </c>
      <c r="G586" s="4">
        <f t="shared" si="244"/>
        <v>6.7814858883998824E-2</v>
      </c>
      <c r="H586" s="4">
        <f t="shared" si="245"/>
        <v>0.17181046386057497</v>
      </c>
    </row>
    <row r="587" spans="1:8">
      <c r="A587" s="12"/>
      <c r="B587" s="13">
        <f t="shared" si="242"/>
        <v>2039</v>
      </c>
      <c r="C587" s="40">
        <v>6261186</v>
      </c>
      <c r="D587" s="41">
        <v>973309</v>
      </c>
      <c r="E587" s="42">
        <v>79207</v>
      </c>
      <c r="F587" s="4">
        <f t="shared" si="243"/>
        <v>1.1564221999999999E-2</v>
      </c>
      <c r="G587" s="4">
        <f t="shared" si="244"/>
        <v>6.9598921603370931E-2</v>
      </c>
      <c r="H587" s="4">
        <f t="shared" si="245"/>
        <v>0.17645559216246753</v>
      </c>
    </row>
    <row r="588" spans="1:8">
      <c r="A588" s="12"/>
      <c r="B588" s="13">
        <f t="shared" si="242"/>
        <v>2040</v>
      </c>
      <c r="C588" s="40">
        <v>6421681</v>
      </c>
      <c r="D588" s="41">
        <v>998930</v>
      </c>
      <c r="E588" s="42">
        <v>81342</v>
      </c>
      <c r="F588" s="4">
        <f t="shared" si="243"/>
        <v>1.1875931999999999E-2</v>
      </c>
      <c r="G588" s="4">
        <f t="shared" si="244"/>
        <v>7.1382973206810446E-2</v>
      </c>
      <c r="H588" s="4">
        <f t="shared" si="245"/>
        <v>0.18110053916983579</v>
      </c>
    </row>
    <row r="589" spans="1:8">
      <c r="A589" s="12"/>
      <c r="B589" s="13">
        <f t="shared" si="242"/>
        <v>2041</v>
      </c>
      <c r="C589" s="40">
        <v>6582177.9000000004</v>
      </c>
      <c r="D589" s="41">
        <v>1024551.3</v>
      </c>
      <c r="E589" s="42">
        <v>83477.5</v>
      </c>
      <c r="F589" s="4">
        <f t="shared" si="243"/>
        <v>1.2187715E-2</v>
      </c>
      <c r="G589" s="4">
        <f t="shared" si="244"/>
        <v>7.316704593052191E-2</v>
      </c>
      <c r="H589" s="4">
        <f t="shared" si="245"/>
        <v>0.18574554056556133</v>
      </c>
    </row>
    <row r="590" spans="1:8">
      <c r="A590" s="12"/>
      <c r="B590" s="13">
        <f t="shared" si="242"/>
        <v>2042</v>
      </c>
      <c r="C590" s="40">
        <v>6742673.0199999996</v>
      </c>
      <c r="D590" s="41">
        <v>1050172.74</v>
      </c>
      <c r="E590" s="42">
        <v>85612.800000000003</v>
      </c>
      <c r="F590" s="4">
        <f t="shared" si="243"/>
        <v>1.2499468799999998E-2</v>
      </c>
      <c r="G590" s="4">
        <f t="shared" si="244"/>
        <v>7.4951098867873323E-2</v>
      </c>
      <c r="H590" s="4">
        <f t="shared" si="245"/>
        <v>0.19039056734252027</v>
      </c>
    </row>
    <row r="591" spans="1:8">
      <c r="A591" s="12"/>
      <c r="B591" s="13">
        <v>2043</v>
      </c>
      <c r="C591" s="40">
        <v>6903171.3739408804</v>
      </c>
      <c r="D591" s="41">
        <v>1075791.22990148</v>
      </c>
      <c r="E591" s="42">
        <v>87746.434236453293</v>
      </c>
      <c r="F591" s="4">
        <f t="shared" si="243"/>
        <v>1.2810979398522181E-2</v>
      </c>
      <c r="G591" s="4">
        <f t="shared" si="244"/>
        <v>7.6735187753493625E-2</v>
      </c>
      <c r="H591" s="4">
        <f t="shared" si="245"/>
        <v>0.19503505928277137</v>
      </c>
    </row>
    <row r="592" spans="1:8">
      <c r="A592" s="43"/>
      <c r="B592" s="13">
        <f t="shared" si="242"/>
        <v>2044</v>
      </c>
      <c r="C592" s="44">
        <v>7063667.7852610797</v>
      </c>
      <c r="D592" s="45">
        <v>1101411.8497339899</v>
      </c>
      <c r="E592" s="46">
        <v>89881.349852216794</v>
      </c>
      <c r="F592" s="4">
        <f t="shared" si="243"/>
        <v>1.3122677078423651E-2</v>
      </c>
      <c r="G592" s="4">
        <f t="shared" si="244"/>
        <v>7.8519255045073358E-2</v>
      </c>
      <c r="H592" s="4">
        <f t="shared" si="245"/>
        <v>0.19967993736785533</v>
      </c>
    </row>
    <row r="594" spans="1:4" s="55" customFormat="1" ht="15.75" customHeight="1">
      <c r="A594" s="54" t="s">
        <v>143</v>
      </c>
    </row>
    <row r="596" spans="1:4">
      <c r="A596" s="134" t="s">
        <v>5</v>
      </c>
      <c r="B596" s="134"/>
      <c r="C596" s="6">
        <v>1</v>
      </c>
      <c r="D596" s="6">
        <v>2</v>
      </c>
    </row>
    <row r="597" spans="1:4" ht="94.5">
      <c r="A597" s="134" t="s">
        <v>6</v>
      </c>
      <c r="B597" s="134"/>
      <c r="C597" s="35" t="s">
        <v>144</v>
      </c>
      <c r="D597" s="35" t="s">
        <v>145</v>
      </c>
    </row>
    <row r="598" spans="1:4">
      <c r="A598" s="8"/>
      <c r="B598" s="9" t="s">
        <v>22</v>
      </c>
      <c r="C598" s="36" t="s">
        <v>146</v>
      </c>
      <c r="D598" s="36" t="s">
        <v>146</v>
      </c>
    </row>
    <row r="599" spans="1:4">
      <c r="A599" s="12"/>
      <c r="B599" s="13">
        <f t="shared" ref="B599:B629" si="246">B562</f>
        <v>2014</v>
      </c>
      <c r="C599" s="69">
        <v>1.1279999999999999</v>
      </c>
      <c r="D599" s="70">
        <v>3.9820000000000002</v>
      </c>
    </row>
    <row r="600" spans="1:4">
      <c r="A600" s="12"/>
      <c r="B600" s="13">
        <f t="shared" si="246"/>
        <v>2015</v>
      </c>
      <c r="C600" s="71">
        <f t="shared" ref="C600:C629" si="247">C599*(1+I11)</f>
        <v>1.1787599999999998</v>
      </c>
      <c r="D600" s="72">
        <f t="shared" ref="D600:D629" si="248">D599*(1+I11)</f>
        <v>4.1611899999999995</v>
      </c>
    </row>
    <row r="601" spans="1:4">
      <c r="A601" s="12"/>
      <c r="B601" s="13">
        <f t="shared" si="246"/>
        <v>2016</v>
      </c>
      <c r="C601" s="71">
        <f t="shared" si="247"/>
        <v>1.2318041999999998</v>
      </c>
      <c r="D601" s="72">
        <f t="shared" si="248"/>
        <v>4.3484435499999989</v>
      </c>
    </row>
    <row r="602" spans="1:4">
      <c r="A602" s="12"/>
      <c r="B602" s="13">
        <f t="shared" si="246"/>
        <v>2017</v>
      </c>
      <c r="C602" s="71">
        <f t="shared" si="247"/>
        <v>1.2872353889999997</v>
      </c>
      <c r="D602" s="72">
        <f t="shared" si="248"/>
        <v>4.5441235097499986</v>
      </c>
    </row>
    <row r="603" spans="1:4">
      <c r="A603" s="12"/>
      <c r="B603" s="13">
        <f t="shared" si="246"/>
        <v>2018</v>
      </c>
      <c r="C603" s="71">
        <f t="shared" si="247"/>
        <v>1.3451609815049996</v>
      </c>
      <c r="D603" s="72">
        <f t="shared" si="248"/>
        <v>4.748609067688748</v>
      </c>
    </row>
    <row r="604" spans="1:4">
      <c r="A604" s="12"/>
      <c r="B604" s="13">
        <f t="shared" si="246"/>
        <v>2019</v>
      </c>
      <c r="C604" s="71">
        <f t="shared" si="247"/>
        <v>1.4056932256727246</v>
      </c>
      <c r="D604" s="72">
        <f t="shared" si="248"/>
        <v>4.9622964757347416</v>
      </c>
    </row>
    <row r="605" spans="1:4">
      <c r="A605" s="12"/>
      <c r="B605" s="13">
        <f t="shared" si="246"/>
        <v>2020</v>
      </c>
      <c r="C605" s="71">
        <f t="shared" si="247"/>
        <v>1.4408355563145425</v>
      </c>
      <c r="D605" s="72">
        <f t="shared" si="248"/>
        <v>5.0863538876281096</v>
      </c>
    </row>
    <row r="606" spans="1:4">
      <c r="A606" s="12"/>
      <c r="B606" s="13">
        <f t="shared" si="246"/>
        <v>2021</v>
      </c>
      <c r="C606" s="71">
        <f t="shared" si="247"/>
        <v>1.476856445222406</v>
      </c>
      <c r="D606" s="72">
        <f t="shared" si="248"/>
        <v>5.2135127348188117</v>
      </c>
    </row>
    <row r="607" spans="1:4">
      <c r="A607" s="12"/>
      <c r="B607" s="13">
        <f t="shared" si="246"/>
        <v>2022</v>
      </c>
      <c r="C607" s="71">
        <f t="shared" si="247"/>
        <v>1.513777856352966</v>
      </c>
      <c r="D607" s="72">
        <f t="shared" si="248"/>
        <v>5.3438505531892817</v>
      </c>
    </row>
    <row r="608" spans="1:4">
      <c r="A608" s="12"/>
      <c r="B608" s="13">
        <f t="shared" si="246"/>
        <v>2023</v>
      </c>
      <c r="C608" s="71">
        <f t="shared" si="247"/>
        <v>1.5516223027617901</v>
      </c>
      <c r="D608" s="72">
        <f t="shared" si="248"/>
        <v>5.4774468170190129</v>
      </c>
    </row>
    <row r="609" spans="1:4">
      <c r="A609" s="12"/>
      <c r="B609" s="13">
        <f t="shared" si="246"/>
        <v>2024</v>
      </c>
      <c r="C609" s="71">
        <f t="shared" si="247"/>
        <v>1.5904128603308347</v>
      </c>
      <c r="D609" s="72">
        <f t="shared" si="248"/>
        <v>5.6143829874444879</v>
      </c>
    </row>
    <row r="610" spans="1:4">
      <c r="A610" s="12"/>
      <c r="B610" s="13">
        <f t="shared" si="246"/>
        <v>2025</v>
      </c>
      <c r="C610" s="71">
        <f t="shared" si="247"/>
        <v>1.6301731818391054</v>
      </c>
      <c r="D610" s="72">
        <f t="shared" si="248"/>
        <v>5.7547425621305992</v>
      </c>
    </row>
    <row r="611" spans="1:4">
      <c r="A611" s="12"/>
      <c r="B611" s="13">
        <f t="shared" si="246"/>
        <v>2026</v>
      </c>
      <c r="C611" s="71">
        <f t="shared" si="247"/>
        <v>1.670927511385083</v>
      </c>
      <c r="D611" s="72">
        <f t="shared" si="248"/>
        <v>5.8986111261838641</v>
      </c>
    </row>
    <row r="612" spans="1:4">
      <c r="A612" s="12"/>
      <c r="B612" s="13">
        <f t="shared" si="246"/>
        <v>2027</v>
      </c>
      <c r="C612" s="71">
        <f t="shared" si="247"/>
        <v>1.71270069916971</v>
      </c>
      <c r="D612" s="72">
        <f t="shared" si="248"/>
        <v>6.0460764043384598</v>
      </c>
    </row>
    <row r="613" spans="1:4">
      <c r="A613" s="12"/>
      <c r="B613" s="13">
        <f t="shared" si="246"/>
        <v>2028</v>
      </c>
      <c r="C613" s="71">
        <f t="shared" si="247"/>
        <v>1.7555182166489527</v>
      </c>
      <c r="D613" s="72">
        <f t="shared" si="248"/>
        <v>6.1972283144469209</v>
      </c>
    </row>
    <row r="614" spans="1:4">
      <c r="A614" s="12"/>
      <c r="B614" s="13">
        <f t="shared" si="246"/>
        <v>2029</v>
      </c>
      <c r="C614" s="71">
        <f t="shared" si="247"/>
        <v>1.7994061720651764</v>
      </c>
      <c r="D614" s="72">
        <f t="shared" si="248"/>
        <v>6.3521590223080935</v>
      </c>
    </row>
    <row r="615" spans="1:4">
      <c r="A615" s="12"/>
      <c r="B615" s="13">
        <f t="shared" si="246"/>
        <v>2030</v>
      </c>
      <c r="C615" s="71">
        <f t="shared" si="247"/>
        <v>1.8443913263668057</v>
      </c>
      <c r="D615" s="72">
        <f t="shared" si="248"/>
        <v>6.5109629978657955</v>
      </c>
    </row>
    <row r="616" spans="1:4">
      <c r="A616" s="12"/>
      <c r="B616" s="13">
        <f t="shared" si="246"/>
        <v>2031</v>
      </c>
      <c r="C616" s="71">
        <f t="shared" si="247"/>
        <v>1.8905011095259756</v>
      </c>
      <c r="D616" s="72">
        <f t="shared" si="248"/>
        <v>6.6737370728124397</v>
      </c>
    </row>
    <row r="617" spans="1:4">
      <c r="A617" s="12"/>
      <c r="B617" s="13">
        <f t="shared" si="246"/>
        <v>2032</v>
      </c>
      <c r="C617" s="71">
        <f t="shared" si="247"/>
        <v>1.9377636372641249</v>
      </c>
      <c r="D617" s="72">
        <f t="shared" si="248"/>
        <v>6.8405804996327504</v>
      </c>
    </row>
    <row r="618" spans="1:4">
      <c r="A618" s="12"/>
      <c r="B618" s="13">
        <f t="shared" si="246"/>
        <v>2033</v>
      </c>
      <c r="C618" s="71">
        <f t="shared" si="247"/>
        <v>1.9862077281957278</v>
      </c>
      <c r="D618" s="72">
        <f t="shared" si="248"/>
        <v>7.0115950121235686</v>
      </c>
    </row>
    <row r="619" spans="1:4">
      <c r="A619" s="12"/>
      <c r="B619" s="13">
        <f t="shared" si="246"/>
        <v>2034</v>
      </c>
      <c r="C619" s="71">
        <f t="shared" si="247"/>
        <v>2.035862921400621</v>
      </c>
      <c r="D619" s="72">
        <f t="shared" si="248"/>
        <v>7.1868848874266575</v>
      </c>
    </row>
    <row r="620" spans="1:4">
      <c r="A620" s="12"/>
      <c r="B620" s="13">
        <f t="shared" si="246"/>
        <v>2035</v>
      </c>
      <c r="C620" s="71">
        <f t="shared" si="247"/>
        <v>2.0867594944356362</v>
      </c>
      <c r="D620" s="72">
        <f t="shared" si="248"/>
        <v>7.3665570096123236</v>
      </c>
    </row>
    <row r="621" spans="1:4">
      <c r="A621" s="12"/>
      <c r="B621" s="13">
        <f t="shared" si="246"/>
        <v>2036</v>
      </c>
      <c r="C621" s="71">
        <f t="shared" si="247"/>
        <v>2.1389284817965271</v>
      </c>
      <c r="D621" s="72">
        <f t="shared" si="248"/>
        <v>7.550720934852631</v>
      </c>
    </row>
    <row r="622" spans="1:4">
      <c r="A622" s="12"/>
      <c r="B622" s="13">
        <f t="shared" si="246"/>
        <v>2037</v>
      </c>
      <c r="C622" s="71">
        <f t="shared" si="247"/>
        <v>2.1924016938414401</v>
      </c>
      <c r="D622" s="72">
        <f t="shared" si="248"/>
        <v>7.7394889582239461</v>
      </c>
    </row>
    <row r="623" spans="1:4">
      <c r="A623" s="12"/>
      <c r="B623" s="13">
        <f t="shared" si="246"/>
        <v>2038</v>
      </c>
      <c r="C623" s="71">
        <f t="shared" si="247"/>
        <v>2.2472117361874759</v>
      </c>
      <c r="D623" s="72">
        <f t="shared" si="248"/>
        <v>7.9329761821795444</v>
      </c>
    </row>
    <row r="624" spans="1:4">
      <c r="A624" s="12"/>
      <c r="B624" s="13">
        <f t="shared" si="246"/>
        <v>2039</v>
      </c>
      <c r="C624" s="71">
        <f t="shared" si="247"/>
        <v>2.3033920295921626</v>
      </c>
      <c r="D624" s="72">
        <f t="shared" si="248"/>
        <v>8.1313005867340316</v>
      </c>
    </row>
    <row r="625" spans="1:4">
      <c r="A625" s="12"/>
      <c r="B625" s="13">
        <f t="shared" si="246"/>
        <v>2040</v>
      </c>
      <c r="C625" s="71">
        <f t="shared" si="247"/>
        <v>2.3609768303319663</v>
      </c>
      <c r="D625" s="72">
        <f t="shared" si="248"/>
        <v>8.3345831014023819</v>
      </c>
    </row>
    <row r="626" spans="1:4">
      <c r="A626" s="12"/>
      <c r="B626" s="13">
        <f t="shared" si="246"/>
        <v>2041</v>
      </c>
      <c r="C626" s="71">
        <f t="shared" si="247"/>
        <v>2.4200012510902651</v>
      </c>
      <c r="D626" s="72">
        <f t="shared" si="248"/>
        <v>8.5429476789374412</v>
      </c>
    </row>
    <row r="627" spans="1:4">
      <c r="A627" s="12"/>
      <c r="B627" s="13">
        <f t="shared" si="246"/>
        <v>2042</v>
      </c>
      <c r="C627" s="71">
        <f t="shared" si="247"/>
        <v>2.4805012823675217</v>
      </c>
      <c r="D627" s="72">
        <f t="shared" si="248"/>
        <v>8.7565213709108765</v>
      </c>
    </row>
    <row r="628" spans="1:4">
      <c r="A628" s="12"/>
      <c r="B628" s="13">
        <f t="shared" si="246"/>
        <v>2043</v>
      </c>
      <c r="C628" s="71">
        <f t="shared" si="247"/>
        <v>2.5425138144267097</v>
      </c>
      <c r="D628" s="72">
        <f t="shared" si="248"/>
        <v>8.9754344051836483</v>
      </c>
    </row>
    <row r="629" spans="1:4">
      <c r="A629" s="43"/>
      <c r="B629" s="13">
        <f t="shared" si="246"/>
        <v>2044</v>
      </c>
      <c r="C629" s="71">
        <f t="shared" si="247"/>
        <v>2.5425138144267097</v>
      </c>
      <c r="D629" s="72">
        <f t="shared" si="248"/>
        <v>8.9754344051836483</v>
      </c>
    </row>
    <row r="631" spans="1:4" s="55" customFormat="1" ht="15.75" customHeight="1">
      <c r="A631" s="54" t="s">
        <v>147</v>
      </c>
    </row>
    <row r="633" spans="1:4">
      <c r="A633" s="134" t="s">
        <v>5</v>
      </c>
      <c r="B633" s="134"/>
      <c r="C633" s="6">
        <v>1</v>
      </c>
      <c r="D633" s="6">
        <v>2</v>
      </c>
    </row>
    <row r="634" spans="1:4" ht="63">
      <c r="A634" s="134" t="s">
        <v>6</v>
      </c>
      <c r="B634" s="134"/>
      <c r="C634" s="35" t="s">
        <v>148</v>
      </c>
      <c r="D634" s="35" t="s">
        <v>149</v>
      </c>
    </row>
    <row r="635" spans="1:4">
      <c r="A635" s="8"/>
      <c r="B635" s="9" t="s">
        <v>22</v>
      </c>
      <c r="C635" s="36" t="s">
        <v>150</v>
      </c>
      <c r="D635" s="36" t="s">
        <v>150</v>
      </c>
    </row>
    <row r="636" spans="1:4">
      <c r="A636" s="12"/>
      <c r="B636" s="13">
        <f t="shared" ref="B636:B666" si="249">B599</f>
        <v>2014</v>
      </c>
      <c r="C636" s="69">
        <v>3.2000000000000001E-2</v>
      </c>
      <c r="D636" s="70">
        <v>0.86899999999999999</v>
      </c>
    </row>
    <row r="637" spans="1:4">
      <c r="A637" s="12"/>
      <c r="B637" s="13">
        <f t="shared" si="249"/>
        <v>2015</v>
      </c>
      <c r="C637" s="71">
        <f t="shared" ref="C637:C666" si="250">C636*(1+K11)</f>
        <v>3.3375999999999996E-2</v>
      </c>
      <c r="D637" s="72">
        <f t="shared" ref="D637:D666" si="251">D636*(1+K11)</f>
        <v>0.90636699999999992</v>
      </c>
    </row>
    <row r="638" spans="1:4">
      <c r="A638" s="12"/>
      <c r="B638" s="13">
        <f t="shared" si="249"/>
        <v>2016</v>
      </c>
      <c r="C638" s="71">
        <f t="shared" si="250"/>
        <v>3.4811167999999997E-2</v>
      </c>
      <c r="D638" s="72">
        <f t="shared" si="251"/>
        <v>0.94534078099999985</v>
      </c>
    </row>
    <row r="639" spans="1:4">
      <c r="A639" s="12"/>
      <c r="B639" s="13">
        <f t="shared" si="249"/>
        <v>2017</v>
      </c>
      <c r="C639" s="71">
        <f t="shared" si="250"/>
        <v>3.6238425887999991E-2</v>
      </c>
      <c r="D639" s="72">
        <f t="shared" si="251"/>
        <v>0.98409975302099972</v>
      </c>
    </row>
    <row r="640" spans="1:4">
      <c r="A640" s="12"/>
      <c r="B640" s="13">
        <f t="shared" si="249"/>
        <v>2018</v>
      </c>
      <c r="C640" s="71">
        <f t="shared" si="250"/>
        <v>3.7724201349407988E-2</v>
      </c>
      <c r="D640" s="72">
        <f t="shared" si="251"/>
        <v>1.0244478428948607</v>
      </c>
    </row>
    <row r="641" spans="1:4">
      <c r="A641" s="12"/>
      <c r="B641" s="13">
        <f t="shared" si="249"/>
        <v>2019</v>
      </c>
      <c r="C641" s="71">
        <f t="shared" si="250"/>
        <v>3.9270893604733716E-2</v>
      </c>
      <c r="D641" s="72">
        <f t="shared" si="251"/>
        <v>1.06645020445355</v>
      </c>
    </row>
    <row r="642" spans="1:4">
      <c r="A642" s="12"/>
      <c r="B642" s="13">
        <f t="shared" si="249"/>
        <v>2020</v>
      </c>
      <c r="C642" s="71">
        <f t="shared" si="250"/>
        <v>4.0881000242527797E-2</v>
      </c>
      <c r="D642" s="72">
        <f t="shared" si="251"/>
        <v>1.1101746628361455</v>
      </c>
    </row>
    <row r="643" spans="1:4">
      <c r="A643" s="12"/>
      <c r="B643" s="13">
        <f t="shared" si="249"/>
        <v>2021</v>
      </c>
      <c r="C643" s="71">
        <f t="shared" si="250"/>
        <v>4.2557121252471436E-2</v>
      </c>
      <c r="D643" s="72">
        <f t="shared" si="251"/>
        <v>1.1556918240124274</v>
      </c>
    </row>
    <row r="644" spans="1:4">
      <c r="A644" s="12"/>
      <c r="B644" s="13">
        <f t="shared" si="249"/>
        <v>2022</v>
      </c>
      <c r="C644" s="71">
        <f t="shared" si="250"/>
        <v>4.4301963223822759E-2</v>
      </c>
      <c r="D644" s="72">
        <f t="shared" si="251"/>
        <v>1.2030751887969369</v>
      </c>
    </row>
    <row r="645" spans="1:4">
      <c r="A645" s="12"/>
      <c r="B645" s="13">
        <f t="shared" si="249"/>
        <v>2023</v>
      </c>
      <c r="C645" s="71">
        <f t="shared" si="250"/>
        <v>4.6118343715999488E-2</v>
      </c>
      <c r="D645" s="72">
        <f t="shared" si="251"/>
        <v>1.2524012715376112</v>
      </c>
    </row>
    <row r="646" spans="1:4">
      <c r="A646" s="12"/>
      <c r="B646" s="13">
        <f t="shared" si="249"/>
        <v>2024</v>
      </c>
      <c r="C646" s="71">
        <f t="shared" si="250"/>
        <v>4.8009195808355463E-2</v>
      </c>
      <c r="D646" s="72">
        <f t="shared" si="251"/>
        <v>1.3037497236706532</v>
      </c>
    </row>
    <row r="647" spans="1:4">
      <c r="A647" s="12"/>
      <c r="B647" s="13">
        <f t="shared" si="249"/>
        <v>2025</v>
      </c>
      <c r="C647" s="71">
        <f t="shared" si="250"/>
        <v>4.9977572836498035E-2</v>
      </c>
      <c r="D647" s="72">
        <f t="shared" si="251"/>
        <v>1.35720346234115</v>
      </c>
    </row>
    <row r="648" spans="1:4">
      <c r="A648" s="12"/>
      <c r="B648" s="13">
        <f t="shared" si="249"/>
        <v>2026</v>
      </c>
      <c r="C648" s="71">
        <f t="shared" si="250"/>
        <v>5.202665332279445E-2</v>
      </c>
      <c r="D648" s="72">
        <f t="shared" si="251"/>
        <v>1.412848804297137</v>
      </c>
    </row>
    <row r="649" spans="1:4">
      <c r="A649" s="12"/>
      <c r="B649" s="13">
        <f t="shared" si="249"/>
        <v>2027</v>
      </c>
      <c r="C649" s="71">
        <f t="shared" si="250"/>
        <v>5.4159746109029017E-2</v>
      </c>
      <c r="D649" s="72">
        <f t="shared" si="251"/>
        <v>1.4707756052733194</v>
      </c>
    </row>
    <row r="650" spans="1:4">
      <c r="A650" s="12"/>
      <c r="B650" s="13">
        <f t="shared" si="249"/>
        <v>2028</v>
      </c>
      <c r="C650" s="71">
        <f t="shared" si="250"/>
        <v>5.6380295699499205E-2</v>
      </c>
      <c r="D650" s="72">
        <f t="shared" si="251"/>
        <v>1.5310774050895255</v>
      </c>
    </row>
    <row r="651" spans="1:4">
      <c r="A651" s="12"/>
      <c r="B651" s="13">
        <f t="shared" si="249"/>
        <v>2029</v>
      </c>
      <c r="C651" s="71">
        <f t="shared" si="250"/>
        <v>5.8691887823178669E-2</v>
      </c>
      <c r="D651" s="72">
        <f t="shared" si="251"/>
        <v>1.5938515786981959</v>
      </c>
    </row>
    <row r="652" spans="1:4">
      <c r="A652" s="12"/>
      <c r="B652" s="13">
        <f t="shared" si="249"/>
        <v>2030</v>
      </c>
      <c r="C652" s="71">
        <f t="shared" si="250"/>
        <v>6.1098255223928991E-2</v>
      </c>
      <c r="D652" s="72">
        <f t="shared" si="251"/>
        <v>1.6591994934248218</v>
      </c>
    </row>
    <row r="653" spans="1:4">
      <c r="A653" s="12"/>
      <c r="B653" s="13">
        <f t="shared" si="249"/>
        <v>2031</v>
      </c>
      <c r="C653" s="71">
        <f t="shared" si="250"/>
        <v>6.3603283688110079E-2</v>
      </c>
      <c r="D653" s="72">
        <f t="shared" si="251"/>
        <v>1.7272266726552394</v>
      </c>
    </row>
    <row r="654" spans="1:4">
      <c r="A654" s="12"/>
      <c r="B654" s="13">
        <f t="shared" si="249"/>
        <v>2032</v>
      </c>
      <c r="C654" s="71">
        <f t="shared" si="250"/>
        <v>6.6211018319322593E-2</v>
      </c>
      <c r="D654" s="72">
        <f t="shared" si="251"/>
        <v>1.7980429662341042</v>
      </c>
    </row>
    <row r="655" spans="1:4">
      <c r="A655" s="12"/>
      <c r="B655" s="13">
        <f t="shared" si="249"/>
        <v>2033</v>
      </c>
      <c r="C655" s="71">
        <f t="shared" si="250"/>
        <v>6.8925670070414807E-2</v>
      </c>
      <c r="D655" s="72">
        <f t="shared" si="251"/>
        <v>1.8717627278497024</v>
      </c>
    </row>
    <row r="656" spans="1:4">
      <c r="A656" s="12"/>
      <c r="B656" s="13">
        <f t="shared" si="249"/>
        <v>2034</v>
      </c>
      <c r="C656" s="71">
        <f t="shared" si="250"/>
        <v>7.1751622543301807E-2</v>
      </c>
      <c r="D656" s="72">
        <f t="shared" si="251"/>
        <v>1.94850499969154</v>
      </c>
    </row>
    <row r="657" spans="1:4">
      <c r="A657" s="12"/>
      <c r="B657" s="13">
        <f t="shared" si="249"/>
        <v>2035</v>
      </c>
      <c r="C657" s="71">
        <f t="shared" si="250"/>
        <v>7.469343906757718E-2</v>
      </c>
      <c r="D657" s="72">
        <f t="shared" si="251"/>
        <v>2.0283937046788929</v>
      </c>
    </row>
    <row r="658" spans="1:4">
      <c r="A658" s="12"/>
      <c r="B658" s="13">
        <f t="shared" si="249"/>
        <v>2036</v>
      </c>
      <c r="C658" s="71">
        <f t="shared" si="250"/>
        <v>7.7755870069347838E-2</v>
      </c>
      <c r="D658" s="72">
        <f t="shared" si="251"/>
        <v>2.1115578465707272</v>
      </c>
    </row>
    <row r="659" spans="1:4">
      <c r="A659" s="12"/>
      <c r="B659" s="13">
        <f t="shared" si="249"/>
        <v>2037</v>
      </c>
      <c r="C659" s="71">
        <f t="shared" si="250"/>
        <v>8.0943860742191093E-2</v>
      </c>
      <c r="D659" s="72">
        <f t="shared" si="251"/>
        <v>2.198131718280127</v>
      </c>
    </row>
    <row r="660" spans="1:4">
      <c r="A660" s="12"/>
      <c r="B660" s="13">
        <f t="shared" si="249"/>
        <v>2038</v>
      </c>
      <c r="C660" s="71">
        <f t="shared" si="250"/>
        <v>8.4262559032620921E-2</v>
      </c>
      <c r="D660" s="72">
        <f t="shared" si="251"/>
        <v>2.2882551187296118</v>
      </c>
    </row>
    <row r="661" spans="1:4">
      <c r="A661" s="12"/>
      <c r="B661" s="13">
        <f t="shared" si="249"/>
        <v>2039</v>
      </c>
      <c r="C661" s="71">
        <f t="shared" si="250"/>
        <v>8.7717323952958379E-2</v>
      </c>
      <c r="D661" s="72">
        <f t="shared" si="251"/>
        <v>2.3820735785975256</v>
      </c>
    </row>
    <row r="662" spans="1:4">
      <c r="A662" s="12"/>
      <c r="B662" s="13">
        <f t="shared" si="249"/>
        <v>2040</v>
      </c>
      <c r="C662" s="71">
        <f t="shared" si="250"/>
        <v>9.131373423502967E-2</v>
      </c>
      <c r="D662" s="72">
        <f t="shared" si="251"/>
        <v>2.4797385953200237</v>
      </c>
    </row>
    <row r="663" spans="1:4">
      <c r="A663" s="12"/>
      <c r="B663" s="13">
        <f t="shared" si="249"/>
        <v>2041</v>
      </c>
      <c r="C663" s="71">
        <f t="shared" si="250"/>
        <v>9.5057597338665881E-2</v>
      </c>
      <c r="D663" s="72">
        <f t="shared" si="251"/>
        <v>2.5814078777281444</v>
      </c>
    </row>
    <row r="664" spans="1:4">
      <c r="A664" s="12"/>
      <c r="B664" s="13">
        <f t="shared" si="249"/>
        <v>2042</v>
      </c>
      <c r="C664" s="71">
        <f t="shared" si="250"/>
        <v>9.8954958829551173E-2</v>
      </c>
      <c r="D664" s="72">
        <f t="shared" si="251"/>
        <v>2.6872456007149981</v>
      </c>
    </row>
    <row r="665" spans="1:4">
      <c r="A665" s="12"/>
      <c r="B665" s="13">
        <f t="shared" si="249"/>
        <v>2043</v>
      </c>
      <c r="C665" s="71">
        <f t="shared" si="250"/>
        <v>0.10301211214156276</v>
      </c>
      <c r="D665" s="72">
        <f t="shared" si="251"/>
        <v>2.7974226703443126</v>
      </c>
    </row>
    <row r="666" spans="1:4">
      <c r="A666" s="43"/>
      <c r="B666" s="13">
        <f t="shared" si="249"/>
        <v>2044</v>
      </c>
      <c r="C666" s="71">
        <f t="shared" si="250"/>
        <v>0.10301211214156276</v>
      </c>
      <c r="D666" s="72">
        <f t="shared" si="251"/>
        <v>2.7974226703443126</v>
      </c>
    </row>
  </sheetData>
  <mergeCells count="185">
    <mergeCell ref="A119:B119"/>
    <mergeCell ref="A120:B120"/>
    <mergeCell ref="I126:K126"/>
    <mergeCell ref="H112:I112"/>
    <mergeCell ref="H113:I113"/>
    <mergeCell ref="H114:I114"/>
    <mergeCell ref="H115:I115"/>
    <mergeCell ref="A121:B121"/>
    <mergeCell ref="H121:I121"/>
    <mergeCell ref="H122:I122"/>
    <mergeCell ref="H116:I116"/>
    <mergeCell ref="H117:I117"/>
    <mergeCell ref="H118:I118"/>
    <mergeCell ref="H119:I119"/>
    <mergeCell ref="H120:I120"/>
    <mergeCell ref="A117:B117"/>
    <mergeCell ref="A118:B118"/>
    <mergeCell ref="A126:C126"/>
    <mergeCell ref="A112:B112"/>
    <mergeCell ref="A4:B4"/>
    <mergeCell ref="C4:D4"/>
    <mergeCell ref="A67:B67"/>
    <mergeCell ref="A61:B61"/>
    <mergeCell ref="A62:B62"/>
    <mergeCell ref="A63:B63"/>
    <mergeCell ref="D101:E101"/>
    <mergeCell ref="D102:E102"/>
    <mergeCell ref="I127:K127"/>
    <mergeCell ref="B104:C104"/>
    <mergeCell ref="B105:C105"/>
    <mergeCell ref="B106:C106"/>
    <mergeCell ref="F107:G107"/>
    <mergeCell ref="A111:B111"/>
    <mergeCell ref="F105:G105"/>
    <mergeCell ref="F106:G106"/>
    <mergeCell ref="D105:E105"/>
    <mergeCell ref="D106:E106"/>
    <mergeCell ref="A130:C130"/>
    <mergeCell ref="A134:C134"/>
    <mergeCell ref="J67:K67"/>
    <mergeCell ref="A109:B110"/>
    <mergeCell ref="C109:F109"/>
    <mergeCell ref="H109:I110"/>
    <mergeCell ref="J109:N109"/>
    <mergeCell ref="H111:I111"/>
    <mergeCell ref="B107:C107"/>
    <mergeCell ref="D107:E107"/>
    <mergeCell ref="F103:G103"/>
    <mergeCell ref="F104:G104"/>
    <mergeCell ref="D103:E103"/>
    <mergeCell ref="D104:E104"/>
    <mergeCell ref="B101:C101"/>
    <mergeCell ref="B102:C102"/>
    <mergeCell ref="B103:C103"/>
    <mergeCell ref="R5:T5"/>
    <mergeCell ref="U5:W5"/>
    <mergeCell ref="A6:B6"/>
    <mergeCell ref="A7:B7"/>
    <mergeCell ref="F101:G101"/>
    <mergeCell ref="F102:G102"/>
    <mergeCell ref="A66:B66"/>
    <mergeCell ref="J66:K66"/>
    <mergeCell ref="A49:B49"/>
    <mergeCell ref="A50:B50"/>
    <mergeCell ref="A51:B51"/>
    <mergeCell ref="A53:B53"/>
    <mergeCell ref="A54:B54"/>
    <mergeCell ref="A55:B55"/>
    <mergeCell ref="A57:B57"/>
    <mergeCell ref="A58:B58"/>
    <mergeCell ref="A59:B59"/>
    <mergeCell ref="A65:H65"/>
    <mergeCell ref="A44:B44"/>
    <mergeCell ref="A45:B45"/>
    <mergeCell ref="J65:Q65"/>
    <mergeCell ref="AB385:AC385"/>
    <mergeCell ref="A386:B386"/>
    <mergeCell ref="J386:K386"/>
    <mergeCell ref="S386:T386"/>
    <mergeCell ref="AB386:AC386"/>
    <mergeCell ref="J278:K278"/>
    <mergeCell ref="S278:T278"/>
    <mergeCell ref="AB278:AC278"/>
    <mergeCell ref="A279:B279"/>
    <mergeCell ref="J279:K279"/>
    <mergeCell ref="S279:T279"/>
    <mergeCell ref="AB279:AC279"/>
    <mergeCell ref="A313:B313"/>
    <mergeCell ref="J313:K313"/>
    <mergeCell ref="S313:T313"/>
    <mergeCell ref="J314:K314"/>
    <mergeCell ref="S314:T314"/>
    <mergeCell ref="A385:B385"/>
    <mergeCell ref="J385:K385"/>
    <mergeCell ref="S385:T385"/>
    <mergeCell ref="A348:B348"/>
    <mergeCell ref="J348:K348"/>
    <mergeCell ref="J349:K349"/>
    <mergeCell ref="L239:M239"/>
    <mergeCell ref="A240:B240"/>
    <mergeCell ref="L240:M240"/>
    <mergeCell ref="J163:K163"/>
    <mergeCell ref="J199:K199"/>
    <mergeCell ref="A239:B239"/>
    <mergeCell ref="A199:B199"/>
    <mergeCell ref="A200:B200"/>
    <mergeCell ref="J164:K164"/>
    <mergeCell ref="A238:I238"/>
    <mergeCell ref="A634:B634"/>
    <mergeCell ref="A509:B509"/>
    <mergeCell ref="A510:B510"/>
    <mergeCell ref="A513:B513"/>
    <mergeCell ref="A514:B514"/>
    <mergeCell ref="A560:B560"/>
    <mergeCell ref="A597:B597"/>
    <mergeCell ref="A633:B633"/>
    <mergeCell ref="A596:B596"/>
    <mergeCell ref="A507:B507"/>
    <mergeCell ref="A522:B522"/>
    <mergeCell ref="A523:B523"/>
    <mergeCell ref="A559:B559"/>
    <mergeCell ref="A516:B516"/>
    <mergeCell ref="A515:B515"/>
    <mergeCell ref="A512:B512"/>
    <mergeCell ref="S420:T420"/>
    <mergeCell ref="J421:K421"/>
    <mergeCell ref="S421:T421"/>
    <mergeCell ref="A498:B498"/>
    <mergeCell ref="A456:B456"/>
    <mergeCell ref="A496:B496"/>
    <mergeCell ref="J456:K456"/>
    <mergeCell ref="J455:K455"/>
    <mergeCell ref="J420:K420"/>
    <mergeCell ref="A278:B278"/>
    <mergeCell ref="A314:B314"/>
    <mergeCell ref="A493:B493"/>
    <mergeCell ref="A494:B494"/>
    <mergeCell ref="A349:B349"/>
    <mergeCell ref="A455:B455"/>
    <mergeCell ref="A420:B420"/>
    <mergeCell ref="A421:B421"/>
    <mergeCell ref="A127:C127"/>
    <mergeCell ref="A128:C128"/>
    <mergeCell ref="A163:B163"/>
    <mergeCell ref="A499:B499"/>
    <mergeCell ref="A143:C143"/>
    <mergeCell ref="A144:C144"/>
    <mergeCell ref="A145:C145"/>
    <mergeCell ref="A146:C146"/>
    <mergeCell ref="A147:C147"/>
    <mergeCell ref="A148:C148"/>
    <mergeCell ref="A501:B501"/>
    <mergeCell ref="A505:B505"/>
    <mergeCell ref="A506:B506"/>
    <mergeCell ref="A113:B113"/>
    <mergeCell ref="A122:B122"/>
    <mergeCell ref="A114:B114"/>
    <mergeCell ref="A115:B115"/>
    <mergeCell ref="A116:B116"/>
    <mergeCell ref="A129:C129"/>
    <mergeCell ref="A142:C142"/>
    <mergeCell ref="A153:C153"/>
    <mergeCell ref="A154:C154"/>
    <mergeCell ref="A155:C155"/>
    <mergeCell ref="A149:C149"/>
    <mergeCell ref="A136:C136"/>
    <mergeCell ref="A137:C137"/>
    <mergeCell ref="A138:C138"/>
    <mergeCell ref="A160:C160"/>
    <mergeCell ref="I146:K146"/>
    <mergeCell ref="I147:K147"/>
    <mergeCell ref="I148:K148"/>
    <mergeCell ref="I150:K150"/>
    <mergeCell ref="A156:C156"/>
    <mergeCell ref="A157:C157"/>
    <mergeCell ref="A158:C158"/>
    <mergeCell ref="A159:C159"/>
    <mergeCell ref="I149:K149"/>
    <mergeCell ref="L238:T238"/>
    <mergeCell ref="J200:K200"/>
    <mergeCell ref="A164:B164"/>
    <mergeCell ref="A162:H162"/>
    <mergeCell ref="J162:Q162"/>
    <mergeCell ref="A198:H198"/>
    <mergeCell ref="J198:Q198"/>
  </mergeCells>
  <phoneticPr fontId="9" type="noConversion"/>
  <dataValidations count="1">
    <dataValidation type="list" allowBlank="1" showInputMessage="1" showErrorMessage="1" sqref="C4:D4">
      <formula1>$R$5:$W$5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340"/>
  <sheetViews>
    <sheetView showGridLines="0" tabSelected="1" topLeftCell="G265" zoomScale="80" zoomScaleNormal="80" workbookViewId="0">
      <selection activeCell="BA296" sqref="BA296"/>
    </sheetView>
  </sheetViews>
  <sheetFormatPr defaultRowHeight="12.75"/>
  <cols>
    <col min="3" max="3" width="14.42578125" customWidth="1"/>
    <col min="4" max="6" width="12.85546875" customWidth="1"/>
    <col min="7" max="7" width="16.5703125" customWidth="1"/>
    <col min="8" max="10" width="12.85546875" customWidth="1"/>
    <col min="11" max="11" width="16.5703125" customWidth="1"/>
    <col min="12" max="14" width="12.85546875" customWidth="1"/>
    <col min="15" max="15" width="16.28515625" customWidth="1"/>
    <col min="16" max="16" width="12.42578125" customWidth="1"/>
    <col min="17" max="17" width="15.85546875" customWidth="1"/>
    <col min="18" max="18" width="12.7109375" customWidth="1"/>
    <col min="19" max="19" width="16.85546875" customWidth="1"/>
    <col min="20" max="22" width="13.140625" customWidth="1"/>
    <col min="23" max="23" width="16" customWidth="1"/>
    <col min="24" max="24" width="13.140625" customWidth="1"/>
    <col min="26" max="26" width="10" customWidth="1"/>
    <col min="27" max="27" width="18.140625" customWidth="1"/>
    <col min="28" max="30" width="13.7109375" customWidth="1"/>
    <col min="31" max="31" width="15.7109375" customWidth="1"/>
    <col min="32" max="32" width="11.7109375" bestFit="1" customWidth="1"/>
    <col min="33" max="33" width="14.85546875" customWidth="1"/>
    <col min="34" max="34" width="12" customWidth="1"/>
    <col min="35" max="35" width="15.28515625" customWidth="1"/>
    <col min="36" max="36" width="13.140625" customWidth="1"/>
    <col min="37" max="37" width="17" customWidth="1"/>
    <col min="38" max="38" width="13.140625" customWidth="1"/>
    <col min="39" max="39" width="17.28515625" customWidth="1"/>
    <col min="42" max="42" width="9.42578125" bestFit="1" customWidth="1"/>
    <col min="43" max="46" width="13.42578125" customWidth="1"/>
    <col min="47" max="47" width="16.42578125" customWidth="1"/>
    <col min="48" max="50" width="10" bestFit="1" customWidth="1"/>
    <col min="51" max="51" width="9.42578125" bestFit="1" customWidth="1"/>
    <col min="52" max="52" width="12.140625" customWidth="1"/>
    <col min="53" max="53" width="12.5703125" customWidth="1"/>
    <col min="54" max="54" width="12.140625" customWidth="1"/>
    <col min="55" max="56" width="12" customWidth="1"/>
    <col min="57" max="57" width="16.140625" customWidth="1"/>
    <col min="58" max="60" width="12" customWidth="1"/>
  </cols>
  <sheetData>
    <row r="2" spans="1:19" s="56" customFormat="1">
      <c r="A2" s="57" t="s">
        <v>72</v>
      </c>
    </row>
    <row r="4" spans="1:19">
      <c r="A4" s="175" t="s">
        <v>36</v>
      </c>
      <c r="B4" s="176"/>
      <c r="C4" s="176"/>
      <c r="D4" s="176"/>
      <c r="E4" s="176"/>
      <c r="F4" s="176"/>
      <c r="G4" s="176"/>
      <c r="H4" s="176"/>
      <c r="I4" s="177"/>
      <c r="K4" s="175" t="s">
        <v>37</v>
      </c>
      <c r="L4" s="176"/>
      <c r="M4" s="176"/>
      <c r="N4" s="176"/>
      <c r="O4" s="176"/>
      <c r="P4" s="176"/>
      <c r="Q4" s="176"/>
      <c r="R4" s="176"/>
      <c r="S4" s="177"/>
    </row>
    <row r="5" spans="1:19">
      <c r="A5" s="134" t="s">
        <v>5</v>
      </c>
      <c r="B5" s="134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6</v>
      </c>
      <c r="J5" s="4"/>
      <c r="K5" s="134" t="s">
        <v>5</v>
      </c>
      <c r="L5" s="134"/>
      <c r="M5" s="6">
        <v>1</v>
      </c>
      <c r="N5" s="6">
        <v>2</v>
      </c>
      <c r="O5" s="6">
        <v>3</v>
      </c>
      <c r="P5" s="6"/>
      <c r="Q5" s="6"/>
      <c r="R5" s="6"/>
      <c r="S5" s="6"/>
    </row>
    <row r="6" spans="1:19" ht="21">
      <c r="A6" s="134" t="s">
        <v>6</v>
      </c>
      <c r="B6" s="134"/>
      <c r="C6" s="35" t="s">
        <v>73</v>
      </c>
      <c r="D6" s="35" t="s">
        <v>74</v>
      </c>
      <c r="E6" s="35" t="s">
        <v>75</v>
      </c>
      <c r="F6" s="35" t="s">
        <v>76</v>
      </c>
      <c r="G6" s="35" t="s">
        <v>77</v>
      </c>
      <c r="H6" s="35" t="s">
        <v>325</v>
      </c>
      <c r="I6" s="35" t="s">
        <v>237</v>
      </c>
      <c r="J6" s="4"/>
      <c r="K6" s="134" t="s">
        <v>6</v>
      </c>
      <c r="L6" s="134"/>
      <c r="M6" s="35" t="s">
        <v>73</v>
      </c>
      <c r="N6" s="35" t="s">
        <v>74</v>
      </c>
      <c r="O6" s="35" t="s">
        <v>75</v>
      </c>
      <c r="P6" s="35" t="s">
        <v>76</v>
      </c>
      <c r="Q6" s="35" t="s">
        <v>77</v>
      </c>
      <c r="R6" s="35" t="s">
        <v>325</v>
      </c>
      <c r="S6" s="35" t="s">
        <v>237</v>
      </c>
    </row>
    <row r="7" spans="1:19" ht="21">
      <c r="A7" s="8"/>
      <c r="B7" s="9" t="s">
        <v>22</v>
      </c>
      <c r="C7" s="36" t="s">
        <v>28</v>
      </c>
      <c r="D7" s="36" t="s">
        <v>28</v>
      </c>
      <c r="E7" s="36" t="s">
        <v>28</v>
      </c>
      <c r="F7" s="36" t="s">
        <v>28</v>
      </c>
      <c r="G7" s="36" t="s">
        <v>28</v>
      </c>
      <c r="H7" s="36" t="s">
        <v>28</v>
      </c>
      <c r="I7" s="36" t="s">
        <v>28</v>
      </c>
      <c r="J7" s="4"/>
      <c r="K7" s="8"/>
      <c r="L7" s="9" t="s">
        <v>22</v>
      </c>
      <c r="M7" s="36" t="s">
        <v>28</v>
      </c>
      <c r="N7" s="36" t="s">
        <v>28</v>
      </c>
      <c r="O7" s="36" t="s">
        <v>28</v>
      </c>
      <c r="P7" s="36" t="s">
        <v>28</v>
      </c>
      <c r="Q7" s="36" t="s">
        <v>28</v>
      </c>
      <c r="R7" s="36" t="s">
        <v>28</v>
      </c>
      <c r="S7" s="36" t="s">
        <v>28</v>
      </c>
    </row>
    <row r="8" spans="1:19">
      <c r="A8" s="12"/>
      <c r="B8" s="13">
        <f ca="1">Zalozenia!M242</f>
        <v>2015</v>
      </c>
      <c r="C8" s="37">
        <f ca="1">Zalozenia!C242*Zalozenia!C70</f>
        <v>12484068.378618363</v>
      </c>
      <c r="D8" s="37">
        <f ca="1">Zalozenia!D242*Zalozenia!D70</f>
        <v>15905125.412838256</v>
      </c>
      <c r="E8" s="37">
        <f ca="1">Zalozenia!E242*Zalozenia!E70</f>
        <v>15213598.220975723</v>
      </c>
      <c r="F8" s="37">
        <f ca="1">Zalozenia!F242*Zalozenia!F70</f>
        <v>9450871.6221212819</v>
      </c>
      <c r="G8" s="37">
        <f ca="1">Zalozenia!G242*Zalozenia!G70</f>
        <v>13023762.113411035</v>
      </c>
      <c r="H8" s="37">
        <f ca="1">Zalozenia!H242*Zalozenia!H70</f>
        <v>0</v>
      </c>
      <c r="I8" s="37">
        <f>SUM(C8:H8)</f>
        <v>66077425.74796465</v>
      </c>
      <c r="J8" s="4"/>
      <c r="K8" s="12"/>
      <c r="L8" s="13">
        <f t="shared" ref="L8:L37" si="0">B8</f>
        <v>2015</v>
      </c>
      <c r="M8" s="37">
        <f ca="1">Zalozenia!N242*Zalozenia!L70</f>
        <v>18726102.567927543</v>
      </c>
      <c r="N8" s="38">
        <f ca="1">Zalozenia!O242*Zalozenia!M70</f>
        <v>29538090.052413903</v>
      </c>
      <c r="O8" s="38">
        <f ca="1">Zalozenia!P242*Zalozenia!N70</f>
        <v>22458168.802392736</v>
      </c>
      <c r="P8" s="38">
        <f ca="1">Zalozenia!Q242*Zalozenia!O70</f>
        <v>14176307.433181925</v>
      </c>
      <c r="Q8" s="38">
        <f ca="1">Zalozenia!R242*Zalozenia!P70</f>
        <v>19535643.170116555</v>
      </c>
      <c r="R8" s="38">
        <f ca="1">Zalozenia!S242*Zalozenia!Q70</f>
        <v>0</v>
      </c>
      <c r="S8" s="39">
        <f>SUM(M8:R8)</f>
        <v>104434312.02603267</v>
      </c>
    </row>
    <row r="9" spans="1:19">
      <c r="A9" s="12"/>
      <c r="B9" s="13">
        <f ca="1">Zalozenia!M243</f>
        <v>2016</v>
      </c>
      <c r="C9" s="40">
        <f ca="1">Zalozenia!C243*Zalozenia!C71</f>
        <v>13071943.158567501</v>
      </c>
      <c r="D9" s="41">
        <f ca="1">Zalozenia!D243*Zalozenia!D71</f>
        <v>16654097.768528808</v>
      </c>
      <c r="E9" s="41">
        <f ca="1">Zalozenia!E243*Zalozenia!E71</f>
        <v>15930006.561201468</v>
      </c>
      <c r="F9" s="41">
        <f ca="1">Zalozenia!F243*Zalozenia!F71</f>
        <v>9895913.1668069717</v>
      </c>
      <c r="G9" s="41">
        <f ca="1">Zalozenia!G243*Zalozenia!G71</f>
        <v>13637051.071331561</v>
      </c>
      <c r="H9" s="118">
        <f ca="1">Zalozenia!H243*Zalozenia!H71</f>
        <v>0</v>
      </c>
      <c r="I9" s="37">
        <f t="shared" ref="I9:I37" si="1">SUM(C9:H9)</f>
        <v>69189011.726436317</v>
      </c>
      <c r="J9" s="4"/>
      <c r="K9" s="12"/>
      <c r="L9" s="13">
        <f t="shared" si="0"/>
        <v>2016</v>
      </c>
      <c r="M9" s="40">
        <f ca="1">Zalozenia!N243*Zalozenia!L71</f>
        <v>19607914.737851251</v>
      </c>
      <c r="N9" s="41">
        <f ca="1">Zalozenia!O243*Zalozenia!M71</f>
        <v>30929038.712982073</v>
      </c>
      <c r="O9" s="41">
        <f ca="1">Zalozenia!P243*Zalozenia!N71</f>
        <v>23515723.971297406</v>
      </c>
      <c r="P9" s="41">
        <f ca="1">Zalozenia!Q243*Zalozenia!O71</f>
        <v>14843869.75021046</v>
      </c>
      <c r="Q9" s="41">
        <f ca="1">Zalozenia!R243*Zalozenia!P71</f>
        <v>20455576.606997341</v>
      </c>
      <c r="R9" s="41">
        <f ca="1">Zalozenia!S243*Zalozenia!Q71</f>
        <v>0</v>
      </c>
      <c r="S9" s="39">
        <f t="shared" ref="S9:S37" si="2">SUM(M9:R9)</f>
        <v>109352123.77933854</v>
      </c>
    </row>
    <row r="10" spans="1:19">
      <c r="A10" s="12"/>
      <c r="B10" s="13">
        <f ca="1">Zalozenia!M244</f>
        <v>2017</v>
      </c>
      <c r="C10" s="40">
        <f ca="1">Zalozenia!C244*Zalozenia!C72</f>
        <v>13687500.961904446</v>
      </c>
      <c r="D10" s="41">
        <f ca="1">Zalozenia!D244*Zalozenia!D72</f>
        <v>17438339.232448827</v>
      </c>
      <c r="E10" s="41">
        <f ca="1">Zalozenia!E244*Zalozenia!E72</f>
        <v>16680150.570168445</v>
      </c>
      <c r="F10" s="41">
        <f ca="1">Zalozenia!F244*Zalozenia!F72</f>
        <v>10361911.717831912</v>
      </c>
      <c r="G10" s="41">
        <f ca="1">Zalozenia!G244*Zalozenia!G72</f>
        <v>14279219.806280563</v>
      </c>
      <c r="H10" s="118">
        <f ca="1">Zalozenia!H244*Zalozenia!H72</f>
        <v>0</v>
      </c>
      <c r="I10" s="37">
        <f t="shared" si="1"/>
        <v>72447122.288634196</v>
      </c>
      <c r="J10" s="4"/>
      <c r="K10" s="12"/>
      <c r="L10" s="13">
        <f t="shared" si="0"/>
        <v>2017</v>
      </c>
      <c r="M10" s="40">
        <f ca="1">Zalozenia!N244*Zalozenia!L72</f>
        <v>20531251.442856669</v>
      </c>
      <c r="N10" s="41">
        <f ca="1">Zalozenia!O244*Zalozenia!M72</f>
        <v>32385487.145976398</v>
      </c>
      <c r="O10" s="41">
        <f ca="1">Zalozenia!P244*Zalozenia!N72</f>
        <v>24623079.413105801</v>
      </c>
      <c r="P10" s="41">
        <f ca="1">Zalozenia!Q244*Zalozenia!O72</f>
        <v>15542867.576747868</v>
      </c>
      <c r="Q10" s="41">
        <f ca="1">Zalozenia!R244*Zalozenia!P72</f>
        <v>21418829.709420845</v>
      </c>
      <c r="R10" s="41">
        <f ca="1">Zalozenia!S244*Zalozenia!Q72</f>
        <v>0</v>
      </c>
      <c r="S10" s="39">
        <f t="shared" si="2"/>
        <v>114501515.28810757</v>
      </c>
    </row>
    <row r="11" spans="1:19">
      <c r="A11" s="12"/>
      <c r="B11" s="13">
        <f ca="1">Zalozenia!M245</f>
        <v>2018</v>
      </c>
      <c r="C11" s="40">
        <f ca="1">Zalozenia!C245*Zalozenia!C73</f>
        <v>14332045.382200526</v>
      </c>
      <c r="D11" s="41">
        <f ca="1">Zalozenia!D245*Zalozenia!D73</f>
        <v>18259510.626904845</v>
      </c>
      <c r="E11" s="41">
        <f ca="1">Zalozenia!E245*Zalozenia!E73</f>
        <v>17465618.860517677</v>
      </c>
      <c r="F11" s="41">
        <f ca="1">Zalozenia!F245*Zalozenia!F73</f>
        <v>10849854.140624616</v>
      </c>
      <c r="G11" s="41">
        <f ca="1">Zalozenia!G245*Zalozenia!G73</f>
        <v>14951628.266958315</v>
      </c>
      <c r="H11" s="118">
        <f ca="1">Zalozenia!H245*Zalozenia!H73</f>
        <v>0</v>
      </c>
      <c r="I11" s="37">
        <f t="shared" si="1"/>
        <v>75858657.277205974</v>
      </c>
      <c r="J11" s="4"/>
      <c r="K11" s="12"/>
      <c r="L11" s="13">
        <f t="shared" si="0"/>
        <v>2018</v>
      </c>
      <c r="M11" s="40">
        <f ca="1">Zalozenia!N245*Zalozenia!L73</f>
        <v>21498068.073300786</v>
      </c>
      <c r="N11" s="41">
        <f ca="1">Zalozenia!O245*Zalozenia!M73</f>
        <v>33910519.735680431</v>
      </c>
      <c r="O11" s="41">
        <f ca="1">Zalozenia!P245*Zalozenia!N73</f>
        <v>25782580.22266895</v>
      </c>
      <c r="P11" s="41">
        <f ca="1">Zalozenia!Q245*Zalozenia!O73</f>
        <v>16274781.210936924</v>
      </c>
      <c r="Q11" s="41">
        <f ca="1">Zalozenia!R245*Zalozenia!P73</f>
        <v>22427442.400437471</v>
      </c>
      <c r="R11" s="41">
        <f ca="1">Zalozenia!S245*Zalozenia!Q73</f>
        <v>0</v>
      </c>
      <c r="S11" s="39">
        <f t="shared" si="2"/>
        <v>119893391.64302456</v>
      </c>
    </row>
    <row r="12" spans="1:19">
      <c r="A12" s="12"/>
      <c r="B12" s="13">
        <f ca="1">Zalozenia!M246</f>
        <v>2019</v>
      </c>
      <c r="C12" s="40">
        <f ca="1">Zalozenia!C246*Zalozenia!C74</f>
        <v>15006941.399248349</v>
      </c>
      <c r="D12" s="41">
        <f ca="1">Zalozenia!D246*Zalozenia!D74</f>
        <v>19119350.982325792</v>
      </c>
      <c r="E12" s="41">
        <f ca="1">Zalozenia!E246*Zalozenia!E74</f>
        <v>18288074.852659456</v>
      </c>
      <c r="F12" s="41">
        <f ca="1">Zalozenia!F246*Zalozenia!F74</f>
        <v>11360773.772106629</v>
      </c>
      <c r="G12" s="41">
        <f ca="1">Zalozenia!G246*Zalozenia!G74</f>
        <v>15655700.442049382</v>
      </c>
      <c r="H12" s="118">
        <f ca="1">Zalozenia!H246*Zalozenia!H74</f>
        <v>0</v>
      </c>
      <c r="I12" s="37">
        <f t="shared" si="1"/>
        <v>79430841.448389605</v>
      </c>
      <c r="J12" s="4"/>
      <c r="K12" s="12"/>
      <c r="L12" s="13">
        <f t="shared" si="0"/>
        <v>2019</v>
      </c>
      <c r="M12" s="40">
        <f ca="1">Zalozenia!N246*Zalozenia!L74</f>
        <v>22510412.09887252</v>
      </c>
      <c r="N12" s="41">
        <f ca="1">Zalozenia!O246*Zalozenia!M74</f>
        <v>35507366.110033624</v>
      </c>
      <c r="O12" s="41">
        <f ca="1">Zalozenia!P246*Zalozenia!N74</f>
        <v>26996681.925354429</v>
      </c>
      <c r="P12" s="41">
        <f ca="1">Zalozenia!Q246*Zalozenia!O74</f>
        <v>17041160.658159941</v>
      </c>
      <c r="Q12" s="41">
        <f ca="1">Zalozenia!R246*Zalozenia!P74</f>
        <v>23483550.663074072</v>
      </c>
      <c r="R12" s="41">
        <f ca="1">Zalozenia!S246*Zalozenia!Q74</f>
        <v>0</v>
      </c>
      <c r="S12" s="39">
        <f t="shared" si="2"/>
        <v>125539171.45549458</v>
      </c>
    </row>
    <row r="13" spans="1:19">
      <c r="A13" s="12"/>
      <c r="B13" s="13">
        <f ca="1">Zalozenia!M247</f>
        <v>2020</v>
      </c>
      <c r="C13" s="40">
        <f ca="1">Zalozenia!C247*Zalozenia!C75</f>
        <v>15713618.269738952</v>
      </c>
      <c r="D13" s="41">
        <f ca="1">Zalozenia!D247*Zalozenia!D75</f>
        <v>20019681.220083512</v>
      </c>
      <c r="E13" s="41">
        <f ca="1">Zalozenia!E247*Zalozenia!E75</f>
        <v>19149260.297471188</v>
      </c>
      <c r="F13" s="41">
        <f ca="1">Zalozenia!F247*Zalozenia!F75</f>
        <v>11895752.609035129</v>
      </c>
      <c r="G13" s="41">
        <f ca="1">Zalozenia!G247*Zalozenia!G75</f>
        <v>16392927.375865487</v>
      </c>
      <c r="H13" s="118">
        <f ca="1">Zalozenia!H247*Zalozenia!H75</f>
        <v>0</v>
      </c>
      <c r="I13" s="37">
        <f t="shared" si="1"/>
        <v>83171239.772194266</v>
      </c>
      <c r="J13" s="4"/>
      <c r="K13" s="12"/>
      <c r="L13" s="13">
        <f t="shared" si="0"/>
        <v>2020</v>
      </c>
      <c r="M13" s="40">
        <f ca="1">Zalozenia!N247*Zalozenia!L75</f>
        <v>23570427.404608425</v>
      </c>
      <c r="N13" s="41">
        <f ca="1">Zalozenia!O247*Zalozenia!M75</f>
        <v>37179407.980155103</v>
      </c>
      <c r="O13" s="41">
        <f ca="1">Zalozenia!P247*Zalozenia!N75</f>
        <v>28267955.677219369</v>
      </c>
      <c r="P13" s="41">
        <f ca="1">Zalozenia!Q247*Zalozenia!O75</f>
        <v>17843628.913552694</v>
      </c>
      <c r="Q13" s="41">
        <f ca="1">Zalozenia!R247*Zalozenia!P75</f>
        <v>24589391.06379823</v>
      </c>
      <c r="R13" s="41">
        <f ca="1">Zalozenia!S247*Zalozenia!Q75</f>
        <v>0</v>
      </c>
      <c r="S13" s="39">
        <f t="shared" si="2"/>
        <v>131450811.03933384</v>
      </c>
    </row>
    <row r="14" spans="1:19">
      <c r="A14" s="12"/>
      <c r="B14" s="13">
        <f ca="1">Zalozenia!M248</f>
        <v>2021</v>
      </c>
      <c r="C14" s="40">
        <f ca="1">Zalozenia!C248*Zalozenia!C76</f>
        <v>16138671.64393539</v>
      </c>
      <c r="D14" s="41">
        <f ca="1">Zalozenia!D248*Zalozenia!D76</f>
        <v>20561213.597086769</v>
      </c>
      <c r="E14" s="41">
        <f ca="1">Zalozenia!E248*Zalozenia!E76</f>
        <v>19667247.788517781</v>
      </c>
      <c r="F14" s="41">
        <f ca="1">Zalozenia!F248*Zalozenia!F76</f>
        <v>12217532.717109527</v>
      </c>
      <c r="G14" s="41">
        <f ca="1">Zalozenia!G248*Zalozenia!G76</f>
        <v>16836356.061382648</v>
      </c>
      <c r="H14" s="118">
        <f ca="1">Zalozenia!H248*Zalozenia!H76</f>
        <v>0</v>
      </c>
      <c r="I14" s="37">
        <f t="shared" si="1"/>
        <v>85421021.80803211</v>
      </c>
      <c r="J14" s="4"/>
      <c r="K14" s="12"/>
      <c r="L14" s="13">
        <f t="shared" si="0"/>
        <v>2021</v>
      </c>
      <c r="M14" s="40">
        <f ca="1">Zalozenia!N248*Zalozenia!L76</f>
        <v>24208007.465903081</v>
      </c>
      <c r="N14" s="41">
        <f ca="1">Zalozenia!O248*Zalozenia!M76</f>
        <v>38185110.966018297</v>
      </c>
      <c r="O14" s="41">
        <f ca="1">Zalozenia!P248*Zalozenia!N76</f>
        <v>29032603.878288146</v>
      </c>
      <c r="P14" s="41">
        <f ca="1">Zalozenia!Q248*Zalozenia!O76</f>
        <v>18326299.075664293</v>
      </c>
      <c r="Q14" s="41">
        <f ca="1">Zalozenia!R248*Zalozenia!P76</f>
        <v>25254534.092073966</v>
      </c>
      <c r="R14" s="41">
        <f ca="1">Zalozenia!S248*Zalozenia!Q76</f>
        <v>0</v>
      </c>
      <c r="S14" s="39">
        <f t="shared" si="2"/>
        <v>135006555.4779478</v>
      </c>
    </row>
    <row r="15" spans="1:19">
      <c r="A15" s="12"/>
      <c r="B15" s="13">
        <f ca="1">Zalozenia!M249</f>
        <v>2022</v>
      </c>
      <c r="C15" s="40">
        <f ca="1">Zalozenia!C249*Zalozenia!C77</f>
        <v>16575222.71190384</v>
      </c>
      <c r="D15" s="41">
        <f ca="1">Zalozenia!D249*Zalozenia!D77</f>
        <v>21117394.424887966</v>
      </c>
      <c r="E15" s="41">
        <f ca="1">Zalozenia!E249*Zalozenia!E77</f>
        <v>20199246.841197181</v>
      </c>
      <c r="F15" s="41">
        <f ca="1">Zalozenia!F249*Zalozenia!F77</f>
        <v>12548016.977107339</v>
      </c>
      <c r="G15" s="41">
        <f ca="1">Zalozenia!G249*Zalozenia!G77</f>
        <v>17291779.492843047</v>
      </c>
      <c r="H15" s="118">
        <f ca="1">Zalozenia!H249*Zalozenia!H77</f>
        <v>0</v>
      </c>
      <c r="I15" s="37">
        <f t="shared" si="1"/>
        <v>87731660.447939381</v>
      </c>
      <c r="J15" s="4"/>
      <c r="K15" s="12"/>
      <c r="L15" s="13">
        <f t="shared" si="0"/>
        <v>2022</v>
      </c>
      <c r="M15" s="40">
        <f ca="1">Zalozenia!N249*Zalozenia!L77</f>
        <v>24862834.067855757</v>
      </c>
      <c r="N15" s="41">
        <f ca="1">Zalozenia!O249*Zalozenia!M77</f>
        <v>39218018.217649087</v>
      </c>
      <c r="O15" s="41">
        <f ca="1">Zalozenia!P249*Zalozenia!N77</f>
        <v>29817935.81319584</v>
      </c>
      <c r="P15" s="41">
        <f ca="1">Zalozenia!Q249*Zalozenia!O77</f>
        <v>18822025.465661008</v>
      </c>
      <c r="Q15" s="41">
        <f ca="1">Zalozenia!R249*Zalozenia!P77</f>
        <v>25937669.239264563</v>
      </c>
      <c r="R15" s="41">
        <f ca="1">Zalozenia!S249*Zalozenia!Q77</f>
        <v>0</v>
      </c>
      <c r="S15" s="39">
        <f t="shared" si="2"/>
        <v>138658482.80362624</v>
      </c>
    </row>
    <row r="16" spans="1:19">
      <c r="A16" s="12"/>
      <c r="B16" s="13">
        <f ca="1">Zalozenia!M250</f>
        <v>2023</v>
      </c>
      <c r="C16" s="40">
        <f ca="1">Zalozenia!C250*Zalozenia!C78</f>
        <v>17023582.486260839</v>
      </c>
      <c r="D16" s="41">
        <f ca="1">Zalozenia!D250*Zalozenia!D78</f>
        <v>21688619.944081184</v>
      </c>
      <c r="E16" s="41">
        <f ca="1">Zalozenia!E250*Zalozenia!E78</f>
        <v>20745636.468251564</v>
      </c>
      <c r="F16" s="41">
        <f ca="1">Zalozenia!F250*Zalozenia!F78</f>
        <v>12887440.83633809</v>
      </c>
      <c r="G16" s="41">
        <f ca="1">Zalozenia!G250*Zalozenia!G78</f>
        <v>17759522.128124449</v>
      </c>
      <c r="H16" s="118">
        <f ca="1">Zalozenia!H250*Zalozenia!H78</f>
        <v>0</v>
      </c>
      <c r="I16" s="37">
        <f t="shared" si="1"/>
        <v>90104801.863056123</v>
      </c>
      <c r="J16" s="4"/>
      <c r="K16" s="12"/>
      <c r="L16" s="13">
        <f t="shared" si="0"/>
        <v>2023</v>
      </c>
      <c r="M16" s="40">
        <f ca="1">Zalozenia!N250*Zalozenia!L78</f>
        <v>25535373.729391251</v>
      </c>
      <c r="N16" s="41">
        <f ca="1">Zalozenia!O250*Zalozenia!M78</f>
        <v>40278865.610436492</v>
      </c>
      <c r="O16" s="41">
        <f ca="1">Zalozenia!P250*Zalozenia!N78</f>
        <v>30624510.976942785</v>
      </c>
      <c r="P16" s="41">
        <f ca="1">Zalozenia!Q250*Zalozenia!O78</f>
        <v>19331161.254507136</v>
      </c>
      <c r="Q16" s="41">
        <f ca="1">Zalozenia!R250*Zalozenia!P78</f>
        <v>26639283.192186669</v>
      </c>
      <c r="R16" s="41">
        <f ca="1">Zalozenia!S250*Zalozenia!Q78</f>
        <v>0</v>
      </c>
      <c r="S16" s="39">
        <f t="shared" si="2"/>
        <v>142409194.76346433</v>
      </c>
    </row>
    <row r="17" spans="1:19">
      <c r="A17" s="12"/>
      <c r="B17" s="13">
        <f ca="1">Zalozenia!M251</f>
        <v>2024</v>
      </c>
      <c r="C17" s="40">
        <f ca="1">Zalozenia!C251*Zalozenia!C79</f>
        <v>17484070.392514192</v>
      </c>
      <c r="D17" s="41">
        <f ca="1">Zalozenia!D251*Zalozenia!D79</f>
        <v>22275297.113568578</v>
      </c>
      <c r="E17" s="41">
        <f ca="1">Zalozenia!E251*Zalozenia!E79</f>
        <v>21306805.934717767</v>
      </c>
      <c r="F17" s="41">
        <f ca="1">Zalozenia!F251*Zalozenia!F79</f>
        <v>13236046.110961035</v>
      </c>
      <c r="G17" s="41">
        <f ca="1">Zalozenia!G251*Zalozenia!G79</f>
        <v>18239917.201690212</v>
      </c>
      <c r="H17" s="118">
        <f ca="1">Zalozenia!H251*Zalozenia!H79</f>
        <v>0</v>
      </c>
      <c r="I17" s="37">
        <f t="shared" si="1"/>
        <v>92542136.753451779</v>
      </c>
      <c r="J17" s="4"/>
      <c r="K17" s="12"/>
      <c r="L17" s="13">
        <f t="shared" si="0"/>
        <v>2024</v>
      </c>
      <c r="M17" s="40">
        <f ca="1">Zalozenia!N251*Zalozenia!L79</f>
        <v>26226105.588771284</v>
      </c>
      <c r="N17" s="41">
        <f ca="1">Zalozenia!O251*Zalozenia!M79</f>
        <v>41368408.925198793</v>
      </c>
      <c r="O17" s="41">
        <f ca="1">Zalozenia!P251*Zalozenia!N79</f>
        <v>31452903.998869084</v>
      </c>
      <c r="P17" s="41">
        <f ca="1">Zalozenia!Q251*Zalozenia!O79</f>
        <v>19854069.166441556</v>
      </c>
      <c r="Q17" s="41">
        <f ca="1">Zalozenia!R251*Zalozenia!P79</f>
        <v>27359875.802535318</v>
      </c>
      <c r="R17" s="41">
        <f ca="1">Zalozenia!S251*Zalozenia!Q79</f>
        <v>0</v>
      </c>
      <c r="S17" s="39">
        <f t="shared" si="2"/>
        <v>146261363.48181605</v>
      </c>
    </row>
    <row r="18" spans="1:19">
      <c r="A18" s="12"/>
      <c r="B18" s="13">
        <f ca="1">Zalozenia!M252</f>
        <v>2025</v>
      </c>
      <c r="C18" s="40">
        <f ca="1">Zalozenia!C252*Zalozenia!C80</f>
        <v>17957014.496631701</v>
      </c>
      <c r="D18" s="41">
        <f ca="1">Zalozenia!D252*Zalozenia!D80</f>
        <v>22877843.900490604</v>
      </c>
      <c r="E18" s="41">
        <f ca="1">Zalozenia!E252*Zalozenia!E80</f>
        <v>21883155.035251882</v>
      </c>
      <c r="F18" s="41">
        <f ca="1">Zalozenia!F252*Zalozenia!F80</f>
        <v>13594081.15826253</v>
      </c>
      <c r="G18" s="41">
        <f ca="1">Zalozenia!G252*Zalozenia!G80</f>
        <v>18733306.961995933</v>
      </c>
      <c r="H18" s="118">
        <f ca="1">Zalozenia!H252*Zalozenia!H80</f>
        <v>0</v>
      </c>
      <c r="I18" s="37">
        <f t="shared" si="1"/>
        <v>95045401.55263266</v>
      </c>
      <c r="J18" s="4"/>
      <c r="K18" s="12"/>
      <c r="L18" s="13">
        <f t="shared" si="0"/>
        <v>2025</v>
      </c>
      <c r="M18" s="40">
        <f ca="1">Zalozenia!N252*Zalozenia!L80</f>
        <v>26935521.744947545</v>
      </c>
      <c r="N18" s="41">
        <f ca="1">Zalozenia!O252*Zalozenia!M80</f>
        <v>42487424.386625424</v>
      </c>
      <c r="O18" s="41">
        <f ca="1">Zalozenia!P252*Zalozenia!N80</f>
        <v>32303705.052038491</v>
      </c>
      <c r="P18" s="41">
        <f ca="1">Zalozenia!Q252*Zalozenia!O80</f>
        <v>20391121.737393796</v>
      </c>
      <c r="Q18" s="41">
        <f ca="1">Zalozenia!R252*Zalozenia!P80</f>
        <v>28099960.442993898</v>
      </c>
      <c r="R18" s="41">
        <f ca="1">Zalozenia!S252*Zalozenia!Q80</f>
        <v>0</v>
      </c>
      <c r="S18" s="39">
        <f t="shared" si="2"/>
        <v>150217733.36399916</v>
      </c>
    </row>
    <row r="19" spans="1:19">
      <c r="A19" s="12"/>
      <c r="B19" s="13">
        <f ca="1">Zalozenia!M253</f>
        <v>2026</v>
      </c>
      <c r="C19" s="40">
        <f ca="1">Zalozenia!C253*Zalozenia!C81</f>
        <v>18442751.73876559</v>
      </c>
      <c r="D19" s="41">
        <f ca="1">Zalozenia!D253*Zalozenia!D81</f>
        <v>23496689.577998873</v>
      </c>
      <c r="E19" s="41">
        <f ca="1">Zalozenia!E253*Zalozenia!E81</f>
        <v>22475094.378955446</v>
      </c>
      <c r="F19" s="41">
        <f ca="1">Zalozenia!F253*Zalozenia!F81</f>
        <v>13961801.053593531</v>
      </c>
      <c r="G19" s="41">
        <f ca="1">Zalozenia!G253*Zalozenia!G81</f>
        <v>19240042.915317919</v>
      </c>
      <c r="H19" s="118">
        <f ca="1">Zalozenia!H253*Zalozenia!H81</f>
        <v>0</v>
      </c>
      <c r="I19" s="37">
        <f t="shared" si="1"/>
        <v>97616379.664631367</v>
      </c>
      <c r="J19" s="4"/>
      <c r="K19" s="12"/>
      <c r="L19" s="13">
        <f t="shared" si="0"/>
        <v>2026</v>
      </c>
      <c r="M19" s="40">
        <f ca="1">Zalozenia!N253*Zalozenia!L81</f>
        <v>39949784.549338087</v>
      </c>
      <c r="N19" s="41">
        <f ca="1">Zalozenia!O253*Zalozenia!M81</f>
        <v>42688122.55868227</v>
      </c>
      <c r="O19" s="41">
        <f ca="1">Zalozenia!P253*Zalozenia!N81</f>
        <v>39463908.173675887</v>
      </c>
      <c r="P19" s="41">
        <f ca="1">Zalozenia!Q253*Zalozenia!O81</f>
        <v>30243368.88076096</v>
      </c>
      <c r="Q19" s="41">
        <f ca="1">Zalozenia!R253*Zalozenia!P81</f>
        <v>28232696.441402737</v>
      </c>
      <c r="R19" s="41">
        <f ca="1">Zalozenia!S253*Zalozenia!Q81</f>
        <v>0</v>
      </c>
      <c r="S19" s="39">
        <f t="shared" si="2"/>
        <v>180577880.60385996</v>
      </c>
    </row>
    <row r="20" spans="1:19">
      <c r="A20" s="12"/>
      <c r="B20" s="13">
        <f ca="1">Zalozenia!M254</f>
        <v>2027</v>
      </c>
      <c r="C20" s="40">
        <f ca="1">Zalozenia!C254*Zalozenia!C82</f>
        <v>18941628.173299193</v>
      </c>
      <c r="D20" s="41">
        <f ca="1">Zalozenia!D254*Zalozenia!D82</f>
        <v>24132275.03108374</v>
      </c>
      <c r="E20" s="41">
        <f ca="1">Zalozenia!E254*Zalozenia!E82</f>
        <v>23083045.681906186</v>
      </c>
      <c r="F20" s="41">
        <f ca="1">Zalozenia!F254*Zalozenia!F82</f>
        <v>14339467.772093233</v>
      </c>
      <c r="G20" s="41">
        <f ca="1">Zalozenia!G254*Zalozenia!G82</f>
        <v>19760486.076177269</v>
      </c>
      <c r="H20" s="118">
        <f ca="1">Zalozenia!H254*Zalozenia!H82</f>
        <v>0</v>
      </c>
      <c r="I20" s="37">
        <f t="shared" si="1"/>
        <v>100256902.73455963</v>
      </c>
      <c r="J20" s="4"/>
      <c r="K20" s="12"/>
      <c r="L20" s="13">
        <f t="shared" si="0"/>
        <v>2027</v>
      </c>
      <c r="M20" s="40">
        <f ca="1">Zalozenia!N254*Zalozenia!L82</f>
        <v>41030426.221397676</v>
      </c>
      <c r="N20" s="41">
        <f ca="1">Zalozenia!O254*Zalozenia!M82</f>
        <v>43842836.273894623</v>
      </c>
      <c r="O20" s="41">
        <f ca="1">Zalozenia!P254*Zalozenia!N82</f>
        <v>40531406.889773816</v>
      </c>
      <c r="P20" s="41">
        <f ca="1">Zalozenia!Q254*Zalozenia!O82</f>
        <v>31061452.008985545</v>
      </c>
      <c r="Q20" s="41">
        <f ca="1">Zalozenia!R254*Zalozenia!P82</f>
        <v>28996390.880142681</v>
      </c>
      <c r="R20" s="41">
        <f ca="1">Zalozenia!S254*Zalozenia!Q82</f>
        <v>0</v>
      </c>
      <c r="S20" s="39">
        <f t="shared" si="2"/>
        <v>185462512.27419436</v>
      </c>
    </row>
    <row r="21" spans="1:19">
      <c r="A21" s="12"/>
      <c r="B21" s="13">
        <f ca="1">Zalozenia!M255</f>
        <v>2028</v>
      </c>
      <c r="C21" s="40">
        <f ca="1">Zalozenia!C255*Zalozenia!C83</f>
        <v>19453999.215386935</v>
      </c>
      <c r="D21" s="41">
        <f ca="1">Zalozenia!D255*Zalozenia!D83</f>
        <v>24785053.070674554</v>
      </c>
      <c r="E21" s="41">
        <f ca="1">Zalozenia!E255*Zalozenia!E83</f>
        <v>23707442.067601748</v>
      </c>
      <c r="F21" s="41">
        <f ca="1">Zalozenia!F255*Zalozenia!F83</f>
        <v>14727350.375328355</v>
      </c>
      <c r="G21" s="41">
        <f ca="1">Zalozenia!G255*Zalozenia!G83</f>
        <v>20295007.224537861</v>
      </c>
      <c r="H21" s="118">
        <f ca="1">Zalozenia!H255*Zalozenia!H83</f>
        <v>0</v>
      </c>
      <c r="I21" s="37">
        <f t="shared" si="1"/>
        <v>102968851.95352946</v>
      </c>
      <c r="J21" s="4"/>
      <c r="K21" s="12"/>
      <c r="L21" s="13">
        <f t="shared" si="0"/>
        <v>2028</v>
      </c>
      <c r="M21" s="40">
        <f ca="1">Zalozenia!N255*Zalozenia!L83</f>
        <v>42140299.250686474</v>
      </c>
      <c r="N21" s="41">
        <f ca="1">Zalozenia!O255*Zalozenia!M83</f>
        <v>45028784.995103471</v>
      </c>
      <c r="O21" s="41">
        <f ca="1">Zalozenia!P255*Zalozenia!N83</f>
        <v>41627781.446142197</v>
      </c>
      <c r="P21" s="41">
        <f ca="1">Zalozenia!Q255*Zalozenia!O83</f>
        <v>31901664.285828602</v>
      </c>
      <c r="Q21" s="41">
        <f ca="1">Zalozenia!R255*Zalozenia!P83</f>
        <v>29780743.253450535</v>
      </c>
      <c r="R21" s="41">
        <f ca="1">Zalozenia!S255*Zalozenia!Q83</f>
        <v>0</v>
      </c>
      <c r="S21" s="39">
        <f t="shared" si="2"/>
        <v>190479273.23121127</v>
      </c>
    </row>
    <row r="22" spans="1:19">
      <c r="A22" s="12"/>
      <c r="B22" s="13">
        <f ca="1">Zalozenia!M256</f>
        <v>2029</v>
      </c>
      <c r="C22" s="40">
        <f ca="1">Zalozenia!C256*Zalozenia!C84</f>
        <v>19980229.89416315</v>
      </c>
      <c r="D22" s="41">
        <f ca="1">Zalozenia!D256*Zalozenia!D84</f>
        <v>25455488.756236296</v>
      </c>
      <c r="E22" s="41">
        <f ca="1">Zalozenia!E256*Zalozenia!E84</f>
        <v>24348728.375530373</v>
      </c>
      <c r="F22" s="41">
        <f ca="1">Zalozenia!F256*Zalozenia!F84</f>
        <v>15125725.202980984</v>
      </c>
      <c r="G22" s="41">
        <f ca="1">Zalozenia!G256*Zalozenia!G84</f>
        <v>20843987.169961605</v>
      </c>
      <c r="H22" s="118">
        <f ca="1">Zalozenia!H256*Zalozenia!H84</f>
        <v>0</v>
      </c>
      <c r="I22" s="37">
        <f t="shared" si="1"/>
        <v>105754159.39887241</v>
      </c>
      <c r="J22" s="4"/>
      <c r="K22" s="12"/>
      <c r="L22" s="13">
        <f t="shared" si="0"/>
        <v>2029</v>
      </c>
      <c r="M22" s="40">
        <f ca="1">Zalozenia!N256*Zalozenia!L84</f>
        <v>43280194.345417544</v>
      </c>
      <c r="N22" s="41">
        <f ca="1">Zalozenia!O256*Zalozenia!M84</f>
        <v>46246813.629221015</v>
      </c>
      <c r="O22" s="41">
        <f ca="1">Zalozenia!P256*Zalozenia!N84</f>
        <v>42753812.934260339</v>
      </c>
      <c r="P22" s="41">
        <f ca="1">Zalozenia!Q256*Zalozenia!O84</f>
        <v>32764604.304760259</v>
      </c>
      <c r="Q22" s="41">
        <f ca="1">Zalozenia!R256*Zalozenia!P84</f>
        <v>30586312.358456369</v>
      </c>
      <c r="R22" s="41">
        <f ca="1">Zalozenia!S256*Zalozenia!Q84</f>
        <v>0</v>
      </c>
      <c r="S22" s="39">
        <f t="shared" si="2"/>
        <v>195631737.57211551</v>
      </c>
    </row>
    <row r="23" spans="1:19">
      <c r="A23" s="12"/>
      <c r="B23" s="13">
        <f ca="1">Zalozenia!M257</f>
        <v>2030</v>
      </c>
      <c r="C23" s="40">
        <f ca="1">Zalozenia!C257*Zalozenia!C85</f>
        <v>20520695.112800263</v>
      </c>
      <c r="D23" s="41">
        <f ca="1">Zalozenia!D257*Zalozenia!D85</f>
        <v>26144059.727092482</v>
      </c>
      <c r="E23" s="41">
        <f ca="1">Zalozenia!E257*Zalozenia!E85</f>
        <v>25007361.478088468</v>
      </c>
      <c r="F23" s="41">
        <f ca="1">Zalozenia!F257*Zalozenia!F85</f>
        <v>15534876.069721619</v>
      </c>
      <c r="G23" s="41">
        <f ca="1">Zalozenia!G257*Zalozenia!G85</f>
        <v>21407817.022909064</v>
      </c>
      <c r="H23" s="118">
        <f ca="1">Zalozenia!H257*Zalozenia!H85</f>
        <v>0</v>
      </c>
      <c r="I23" s="37">
        <f t="shared" si="1"/>
        <v>108614809.4106119</v>
      </c>
      <c r="J23" s="4"/>
      <c r="K23" s="12"/>
      <c r="L23" s="13">
        <f t="shared" si="0"/>
        <v>2030</v>
      </c>
      <c r="M23" s="40">
        <f ca="1">Zalozenia!N257*Zalozenia!L85</f>
        <v>44450923.602461092</v>
      </c>
      <c r="N23" s="41">
        <f ca="1">Zalozenia!O257*Zalozenia!M85</f>
        <v>47497789.937891439</v>
      </c>
      <c r="O23" s="41">
        <f ca="1">Zalozenia!P257*Zalozenia!N85</f>
        <v>43910303.574132077</v>
      </c>
      <c r="P23" s="41">
        <f ca="1">Zalozenia!Q257*Zalozenia!O85</f>
        <v>33650886.851204023</v>
      </c>
      <c r="Q23" s="41">
        <f ca="1">Zalozenia!R257*Zalozenia!P85</f>
        <v>31413672.10775261</v>
      </c>
      <c r="R23" s="41">
        <f ca="1">Zalozenia!S257*Zalozenia!Q85</f>
        <v>0</v>
      </c>
      <c r="S23" s="39">
        <f t="shared" si="2"/>
        <v>200923576.07344127</v>
      </c>
    </row>
    <row r="24" spans="1:19">
      <c r="A24" s="12"/>
      <c r="B24" s="13">
        <f ca="1">Zalozenia!M258</f>
        <v>2031</v>
      </c>
      <c r="C24" s="40">
        <f ca="1">Zalozenia!C258*Zalozenia!C86</f>
        <v>21075779.915601507</v>
      </c>
      <c r="D24" s="41">
        <f ca="1">Zalozenia!D258*Zalozenia!D86</f>
        <v>26851256.54271033</v>
      </c>
      <c r="E24" s="41">
        <f ca="1">Zalozenia!E258*Zalozenia!E86</f>
        <v>25683810.606070757</v>
      </c>
      <c r="F24" s="41">
        <f ca="1">Zalozenia!F258*Zalozenia!F86</f>
        <v>15955094.467407586</v>
      </c>
      <c r="G24" s="41">
        <f ca="1">Zalozenia!G258*Zalozenia!G86</f>
        <v>21986898.473378751</v>
      </c>
      <c r="H24" s="118">
        <f ca="1">Zalozenia!H258*Zalozenia!H86</f>
        <v>0</v>
      </c>
      <c r="I24" s="37">
        <f t="shared" si="1"/>
        <v>111552840.00516893</v>
      </c>
      <c r="J24" s="4"/>
      <c r="K24" s="12"/>
      <c r="L24" s="13">
        <f t="shared" si="0"/>
        <v>2031</v>
      </c>
      <c r="M24" s="40">
        <f ca="1">Zalozenia!N258*Zalozenia!L86</f>
        <v>45653321.08590766</v>
      </c>
      <c r="N24" s="41">
        <f ca="1">Zalozenia!O258*Zalozenia!M86</f>
        <v>48782605.155711405</v>
      </c>
      <c r="O24" s="41">
        <f ca="1">Zalozenia!P258*Zalozenia!N86</f>
        <v>45098077.285812348</v>
      </c>
      <c r="P24" s="41">
        <f ca="1">Zalozenia!Q258*Zalozenia!O86</f>
        <v>34561143.340529084</v>
      </c>
      <c r="Q24" s="41">
        <f ca="1">Zalozenia!R258*Zalozenia!P86</f>
        <v>32263411.938267317</v>
      </c>
      <c r="R24" s="41">
        <f ca="1">Zalozenia!S258*Zalozenia!Q86</f>
        <v>0</v>
      </c>
      <c r="S24" s="39">
        <f t="shared" si="2"/>
        <v>206358558.80622783</v>
      </c>
    </row>
    <row r="25" spans="1:19">
      <c r="A25" s="12"/>
      <c r="B25" s="13">
        <f ca="1">Zalozenia!M259</f>
        <v>2032</v>
      </c>
      <c r="C25" s="40">
        <f ca="1">Zalozenia!C259*Zalozenia!C87</f>
        <v>21645879.762318525</v>
      </c>
      <c r="D25" s="41">
        <f ca="1">Zalozenia!D259*Zalozenia!D87</f>
        <v>27577583.032190643</v>
      </c>
      <c r="E25" s="41">
        <f ca="1">Zalozenia!E259*Zalozenia!E87</f>
        <v>26378557.682964969</v>
      </c>
      <c r="F25" s="41">
        <f ca="1">Zalozenia!F259*Zalozenia!F87</f>
        <v>16386679.772750961</v>
      </c>
      <c r="G25" s="41">
        <f ca="1">Zalozenia!G259*Zalozenia!G87</f>
        <v>22581644.077083644</v>
      </c>
      <c r="H25" s="118">
        <f ca="1">Zalozenia!H259*Zalozenia!H87</f>
        <v>0</v>
      </c>
      <c r="I25" s="37">
        <f t="shared" si="1"/>
        <v>114570344.32730874</v>
      </c>
      <c r="J25" s="4"/>
      <c r="K25" s="12"/>
      <c r="L25" s="13">
        <f t="shared" si="0"/>
        <v>2032</v>
      </c>
      <c r="M25" s="40">
        <f ca="1">Zalozenia!N259*Zalozenia!L87</f>
        <v>46888243.421281449</v>
      </c>
      <c r="N25" s="41">
        <f ca="1">Zalozenia!O259*Zalozenia!M87</f>
        <v>50102174.625173397</v>
      </c>
      <c r="O25" s="41">
        <f ca="1">Zalozenia!P259*Zalozenia!N87</f>
        <v>46317980.27639357</v>
      </c>
      <c r="P25" s="41">
        <f ca="1">Zalozenia!Q259*Zalozenia!O87</f>
        <v>35496022.267890394</v>
      </c>
      <c r="Q25" s="41">
        <f ca="1">Zalozenia!R259*Zalozenia!P87</f>
        <v>33136137.231197447</v>
      </c>
      <c r="R25" s="41">
        <f ca="1">Zalozenia!S259*Zalozenia!Q87</f>
        <v>0</v>
      </c>
      <c r="S25" s="39">
        <f t="shared" si="2"/>
        <v>211940557.82193625</v>
      </c>
    </row>
    <row r="26" spans="1:19">
      <c r="A26" s="12"/>
      <c r="B26" s="13">
        <f ca="1">Zalozenia!M260</f>
        <v>2033</v>
      </c>
      <c r="C26" s="40">
        <f ca="1">Zalozenia!C260*Zalozenia!C88</f>
        <v>22231400.809889238</v>
      </c>
      <c r="D26" s="41">
        <f ca="1">Zalozenia!D260*Zalozenia!D88</f>
        <v>28323556.653211396</v>
      </c>
      <c r="E26" s="41">
        <f ca="1">Zalozenia!E260*Zalozenia!E88</f>
        <v>27092097.668289173</v>
      </c>
      <c r="F26" s="41">
        <f ca="1">Zalozenia!F260*Zalozenia!F88</f>
        <v>16829939.460603874</v>
      </c>
      <c r="G26" s="41">
        <f ca="1">Zalozenia!G260*Zalozenia!G88</f>
        <v>23192477.549368754</v>
      </c>
      <c r="H26" s="118">
        <f ca="1">Zalozenia!H260*Zalozenia!H88</f>
        <v>0</v>
      </c>
      <c r="I26" s="37">
        <f t="shared" si="1"/>
        <v>117669472.14136244</v>
      </c>
      <c r="J26" s="4"/>
      <c r="K26" s="12"/>
      <c r="L26" s="13">
        <f t="shared" si="0"/>
        <v>2033</v>
      </c>
      <c r="M26" s="40">
        <f ca="1">Zalozenia!N260*Zalozenia!L88</f>
        <v>48156570.405827105</v>
      </c>
      <c r="N26" s="41">
        <f ca="1">Zalozenia!O260*Zalozenia!M88</f>
        <v>51457438.448784336</v>
      </c>
      <c r="O26" s="41">
        <f ca="1">Zalozenia!P260*Zalozenia!N88</f>
        <v>47570881.642870016</v>
      </c>
      <c r="P26" s="41">
        <f ca="1">Zalozenia!Q260*Zalozenia!O88</f>
        <v>36456189.670236833</v>
      </c>
      <c r="Q26" s="41">
        <f ca="1">Zalozenia!R260*Zalozenia!P88</f>
        <v>34032469.743301332</v>
      </c>
      <c r="R26" s="41">
        <f ca="1">Zalozenia!S260*Zalozenia!Q88</f>
        <v>0</v>
      </c>
      <c r="S26" s="39">
        <f t="shared" si="2"/>
        <v>217673549.91101962</v>
      </c>
    </row>
    <row r="27" spans="1:19">
      <c r="A27" s="12"/>
      <c r="B27" s="13">
        <f ca="1">Zalozenia!M261</f>
        <v>2034</v>
      </c>
      <c r="C27" s="40">
        <f ca="1">Zalozenia!C261*Zalozenia!C89</f>
        <v>22832760.20179674</v>
      </c>
      <c r="D27" s="41">
        <f ca="1">Zalozenia!D261*Zalozenia!D89</f>
        <v>29089708.860680766</v>
      </c>
      <c r="E27" s="41">
        <f ca="1">Zalozenia!E261*Zalozenia!E89</f>
        <v>27824938.910216391</v>
      </c>
      <c r="F27" s="41">
        <f ca="1">Zalozenia!F261*Zalozenia!F89</f>
        <v>17285189.323013209</v>
      </c>
      <c r="G27" s="41">
        <f ca="1">Zalozenia!G261*Zalozenia!G89</f>
        <v>23819834.067079179</v>
      </c>
      <c r="H27" s="118">
        <f ca="1">Zalozenia!H261*Zalozenia!H89</f>
        <v>0</v>
      </c>
      <c r="I27" s="37">
        <f t="shared" si="1"/>
        <v>120852431.36278629</v>
      </c>
      <c r="J27" s="4"/>
      <c r="K27" s="12"/>
      <c r="L27" s="13">
        <f t="shared" si="0"/>
        <v>2034</v>
      </c>
      <c r="M27" s="40">
        <f ca="1">Zalozenia!N261*Zalozenia!L89</f>
        <v>49459205.635304727</v>
      </c>
      <c r="N27" s="41">
        <f ca="1">Zalozenia!O261*Zalozenia!M89</f>
        <v>52849362.158823945</v>
      </c>
      <c r="O27" s="41">
        <f ca="1">Zalozenia!P261*Zalozenia!N89</f>
        <v>48857673.99130965</v>
      </c>
      <c r="P27" s="41">
        <f ca="1">Zalozenia!Q261*Zalozenia!O89</f>
        <v>37442329.600816742</v>
      </c>
      <c r="Q27" s="41">
        <f ca="1">Zalozenia!R261*Zalozenia!P89</f>
        <v>34953048.049857639</v>
      </c>
      <c r="R27" s="41">
        <f ca="1">Zalozenia!S261*Zalozenia!Q89</f>
        <v>0</v>
      </c>
      <c r="S27" s="39">
        <f t="shared" si="2"/>
        <v>223561619.43611273</v>
      </c>
    </row>
    <row r="28" spans="1:19">
      <c r="A28" s="12"/>
      <c r="B28" s="13">
        <f ca="1">Zalozenia!M262</f>
        <v>2035</v>
      </c>
      <c r="C28" s="40">
        <f ca="1">Zalozenia!C262*Zalozenia!C90</f>
        <v>23450386.365255341</v>
      </c>
      <c r="D28" s="41">
        <f ca="1">Zalozenia!D262*Zalozenia!D90</f>
        <v>29876585.485362176</v>
      </c>
      <c r="E28" s="41">
        <f ca="1">Zalozenia!E262*Zalozenia!E90</f>
        <v>28577603.507737745</v>
      </c>
      <c r="F28" s="41">
        <f ca="1">Zalozenia!F262*Zalozenia!F90</f>
        <v>17752753.694200713</v>
      </c>
      <c r="G28" s="41">
        <f ca="1">Zalozenia!G262*Zalozenia!G90</f>
        <v>24464160.578593671</v>
      </c>
      <c r="H28" s="118">
        <f ca="1">Zalozenia!H262*Zalozenia!H90</f>
        <v>0</v>
      </c>
      <c r="I28" s="37">
        <f t="shared" si="1"/>
        <v>124121489.63114963</v>
      </c>
      <c r="J28" s="4"/>
      <c r="K28" s="12"/>
      <c r="L28" s="13">
        <f t="shared" si="0"/>
        <v>2035</v>
      </c>
      <c r="M28" s="40">
        <f ca="1">Zalozenia!N262*Zalozenia!L90</f>
        <v>50797077.147739723</v>
      </c>
      <c r="N28" s="41">
        <f ca="1">Zalozenia!O262*Zalozenia!M90</f>
        <v>54278937.405220129</v>
      </c>
      <c r="O28" s="41">
        <f ca="1">Zalozenia!P262*Zalozenia!N90</f>
        <v>50179274.072774567</v>
      </c>
      <c r="P28" s="41">
        <f ca="1">Zalozenia!Q262*Zalozenia!O90</f>
        <v>38455144.616518833</v>
      </c>
      <c r="Q28" s="41">
        <f ca="1">Zalozenia!R262*Zalozenia!P90</f>
        <v>35898527.999606282</v>
      </c>
      <c r="R28" s="41">
        <f ca="1">Zalozenia!S262*Zalozenia!Q90</f>
        <v>0</v>
      </c>
      <c r="S28" s="39">
        <f t="shared" si="2"/>
        <v>229608961.24185953</v>
      </c>
    </row>
    <row r="29" spans="1:19">
      <c r="A29" s="12"/>
      <c r="B29" s="13">
        <f ca="1">Zalozenia!M263</f>
        <v>2036</v>
      </c>
      <c r="C29" s="40">
        <f ca="1">Zalozenia!C263*Zalozenia!C91</f>
        <v>24084719.316435497</v>
      </c>
      <c r="D29" s="41">
        <f ca="1">Zalozenia!D263*Zalozenia!D91</f>
        <v>30684747.122741215</v>
      </c>
      <c r="E29" s="41">
        <f ca="1">Zalozenia!E263*Zalozenia!E91</f>
        <v>29350627.682622045</v>
      </c>
      <c r="F29" s="41">
        <f ca="1">Zalozenia!F263*Zalozenia!F91</f>
        <v>18232965.681628842</v>
      </c>
      <c r="G29" s="41">
        <f ca="1">Zalozenia!G263*Zalozenia!G91</f>
        <v>25125916.122244626</v>
      </c>
      <c r="H29" s="118">
        <f ca="1">Zalozenia!H263*Zalozenia!H91</f>
        <v>0</v>
      </c>
      <c r="I29" s="37">
        <f t="shared" si="1"/>
        <v>127478975.92567222</v>
      </c>
      <c r="J29" s="4"/>
      <c r="K29" s="12"/>
      <c r="L29" s="13">
        <f t="shared" si="0"/>
        <v>2036</v>
      </c>
      <c r="M29" s="40">
        <f ca="1">Zalozenia!N263*Zalozenia!L91</f>
        <v>52171138.084586084</v>
      </c>
      <c r="N29" s="41">
        <f ca="1">Zalozenia!O263*Zalozenia!M91</f>
        <v>55747182.66203133</v>
      </c>
      <c r="O29" s="41">
        <f ca="1">Zalozenia!P263*Zalozenia!N91</f>
        <v>51536623.436443113</v>
      </c>
      <c r="P29" s="41">
        <f ca="1">Zalozenia!Q263*Zalozenia!O91</f>
        <v>39495356.27839566</v>
      </c>
      <c r="Q29" s="41">
        <f ca="1">Zalozenia!R263*Zalozenia!P91</f>
        <v>36869583.18199563</v>
      </c>
      <c r="R29" s="41">
        <f ca="1">Zalozenia!S263*Zalozenia!Q91</f>
        <v>0</v>
      </c>
      <c r="S29" s="39">
        <f t="shared" si="2"/>
        <v>235819883.64345181</v>
      </c>
    </row>
    <row r="30" spans="1:19">
      <c r="A30" s="12"/>
      <c r="B30" s="13">
        <f ca="1">Zalozenia!M264</f>
        <v>2037</v>
      </c>
      <c r="C30" s="40">
        <f ca="1">Zalozenia!C264*Zalozenia!C92</f>
        <v>24736210.973945078</v>
      </c>
      <c r="D30" s="41">
        <f ca="1">Zalozenia!D264*Zalozenia!D92</f>
        <v>31514769.532411359</v>
      </c>
      <c r="E30" s="41">
        <f ca="1">Zalozenia!E264*Zalozenia!E92</f>
        <v>30144562.161436964</v>
      </c>
      <c r="F30" s="41">
        <f ca="1">Zalozenia!F264*Zalozenia!F92</f>
        <v>18726167.4033169</v>
      </c>
      <c r="G30" s="41">
        <f ca="1">Zalozenia!G264*Zalozenia!G92</f>
        <v>25805572.153351337</v>
      </c>
      <c r="H30" s="118">
        <f ca="1">Zalozenia!H264*Zalozenia!H92</f>
        <v>0</v>
      </c>
      <c r="I30" s="37">
        <f t="shared" si="1"/>
        <v>130927282.22446163</v>
      </c>
      <c r="J30" s="4"/>
      <c r="K30" s="12"/>
      <c r="L30" s="13">
        <f t="shared" si="0"/>
        <v>2037</v>
      </c>
      <c r="M30" s="40">
        <f ca="1">Zalozenia!N264*Zalozenia!L92</f>
        <v>53582367.36977414</v>
      </c>
      <c r="N30" s="41">
        <f ca="1">Zalozenia!O264*Zalozenia!M92</f>
        <v>57255143.953039274</v>
      </c>
      <c r="O30" s="41">
        <f ca="1">Zalozenia!P264*Zalozenia!N92</f>
        <v>52930689.100398898</v>
      </c>
      <c r="P30" s="41">
        <f ca="1">Zalozenia!Q264*Zalozenia!O92</f>
        <v>40563705.665726259</v>
      </c>
      <c r="Q30" s="41">
        <f ca="1">Zalozenia!R264*Zalozenia!P92</f>
        <v>37866905.407068603</v>
      </c>
      <c r="R30" s="41">
        <f ca="1">Zalozenia!S264*Zalozenia!Q92</f>
        <v>0</v>
      </c>
      <c r="S30" s="39">
        <f t="shared" si="2"/>
        <v>242198811.4960072</v>
      </c>
    </row>
    <row r="31" spans="1:19">
      <c r="A31" s="12"/>
      <c r="B31" s="13">
        <f ca="1">Zalozenia!M265</f>
        <v>2038</v>
      </c>
      <c r="C31" s="40">
        <f ca="1">Zalozenia!C265*Zalozenia!C93</f>
        <v>25405325.480790287</v>
      </c>
      <c r="D31" s="41">
        <f ca="1">Zalozenia!D265*Zalozenia!D93</f>
        <v>32367244.048263084</v>
      </c>
      <c r="E31" s="41">
        <f ca="1">Zalozenia!E265*Zalozenia!E93</f>
        <v>30959972.567903832</v>
      </c>
      <c r="F31" s="41">
        <f ca="1">Zalozenia!F265*Zalozenia!F93</f>
        <v>19232710.231576622</v>
      </c>
      <c r="G31" s="41">
        <f ca="1">Zalozenia!G265*Zalozenia!G93</f>
        <v>26503612.88009949</v>
      </c>
      <c r="H31" s="118">
        <f ca="1">Zalozenia!H265*Zalozenia!H93</f>
        <v>0</v>
      </c>
      <c r="I31" s="37">
        <f t="shared" si="1"/>
        <v>134468865.2086333</v>
      </c>
      <c r="J31" s="4"/>
      <c r="K31" s="12"/>
      <c r="L31" s="13">
        <f t="shared" si="0"/>
        <v>2038</v>
      </c>
      <c r="M31" s="40">
        <f ca="1">Zalozenia!N265*Zalozenia!L93</f>
        <v>55031770.407126524</v>
      </c>
      <c r="N31" s="41">
        <f ca="1">Zalozenia!O265*Zalozenia!M93</f>
        <v>58803895.596968979</v>
      </c>
      <c r="O31" s="41">
        <f ca="1">Zalozenia!P265*Zalozenia!N93</f>
        <v>54362464.240564682</v>
      </c>
      <c r="P31" s="41">
        <f ca="1">Zalozenia!Q265*Zalozenia!O93</f>
        <v>41660953.903984152</v>
      </c>
      <c r="Q31" s="41">
        <f ca="1">Zalozenia!R265*Zalozenia!P93</f>
        <v>38891205.198329806</v>
      </c>
      <c r="R31" s="41">
        <f ca="1">Zalozenia!S265*Zalozenia!Q93</f>
        <v>0</v>
      </c>
      <c r="S31" s="39">
        <f t="shared" si="2"/>
        <v>248750289.34697413</v>
      </c>
    </row>
    <row r="32" spans="1:19">
      <c r="A32" s="12"/>
      <c r="B32" s="13">
        <f ca="1">Zalozenia!M266</f>
        <v>2039</v>
      </c>
      <c r="C32" s="40">
        <f ca="1">Zalozenia!C266*Zalozenia!C94</f>
        <v>26092539.535045665</v>
      </c>
      <c r="D32" s="41">
        <f ca="1">Zalozenia!D266*Zalozenia!D94</f>
        <v>33242777.999768596</v>
      </c>
      <c r="E32" s="41">
        <f ca="1">Zalozenia!E266*Zalozenia!E94</f>
        <v>31797439.825865626</v>
      </c>
      <c r="F32" s="41">
        <f ca="1">Zalozenia!F266*Zalozenia!F94</f>
        <v>19752955.043340765</v>
      </c>
      <c r="G32" s="41">
        <f ca="1">Zalozenia!G266*Zalozenia!G94</f>
        <v>27220535.60850618</v>
      </c>
      <c r="H32" s="118">
        <f ca="1">Zalozenia!H266*Zalozenia!H94</f>
        <v>0</v>
      </c>
      <c r="I32" s="37">
        <f t="shared" si="1"/>
        <v>138106248.01252684</v>
      </c>
      <c r="J32" s="4"/>
      <c r="K32" s="12"/>
      <c r="L32" s="13">
        <f t="shared" si="0"/>
        <v>2039</v>
      </c>
      <c r="M32" s="40">
        <f ca="1">Zalozenia!N266*Zalozenia!L94</f>
        <v>56520379.796639293</v>
      </c>
      <c r="N32" s="41">
        <f ca="1">Zalozenia!O266*Zalozenia!M94</f>
        <v>60394540.972866982</v>
      </c>
      <c r="O32" s="41">
        <f ca="1">Zalozenia!P266*Zalozenia!N94</f>
        <v>55832968.898271956</v>
      </c>
      <c r="P32" s="41">
        <f ca="1">Zalozenia!Q266*Zalozenia!O94</f>
        <v>42787882.707086913</v>
      </c>
      <c r="Q32" s="41">
        <f ca="1">Zalozenia!R266*Zalozenia!P94</f>
        <v>39943212.298944622</v>
      </c>
      <c r="R32" s="41">
        <f ca="1">Zalozenia!S266*Zalozenia!Q94</f>
        <v>0</v>
      </c>
      <c r="S32" s="39">
        <f t="shared" si="2"/>
        <v>255478984.67380977</v>
      </c>
    </row>
    <row r="33" spans="1:19">
      <c r="A33" s="12"/>
      <c r="B33" s="13">
        <f ca="1">Zalozenia!M267</f>
        <v>2040</v>
      </c>
      <c r="C33" s="40">
        <f ca="1">Zalozenia!C267*Zalozenia!C95</f>
        <v>26798342.729468644</v>
      </c>
      <c r="D33" s="41">
        <f ca="1">Zalozenia!D267*Zalozenia!D95</f>
        <v>34141995.144662336</v>
      </c>
      <c r="E33" s="41">
        <f ca="1">Zalozenia!E267*Zalozenia!E95</f>
        <v>32657560.573155291</v>
      </c>
      <c r="F33" s="41">
        <f ca="1">Zalozenia!F267*Zalozenia!F95</f>
        <v>20287272.47726313</v>
      </c>
      <c r="G33" s="41">
        <f ca="1">Zalozenia!G267*Zalozenia!G95</f>
        <v>27956851.09671627</v>
      </c>
      <c r="H33" s="118">
        <f ca="1">Zalozenia!H267*Zalozenia!H95</f>
        <v>0</v>
      </c>
      <c r="I33" s="37">
        <f t="shared" si="1"/>
        <v>141842022.02126569</v>
      </c>
      <c r="J33" s="4"/>
      <c r="K33" s="12"/>
      <c r="L33" s="13">
        <f t="shared" si="0"/>
        <v>2040</v>
      </c>
      <c r="M33" s="40">
        <f ca="1">Zalozenia!N267*Zalozenia!L95</f>
        <v>58049256.070138372</v>
      </c>
      <c r="N33" s="41">
        <f ca="1">Zalozenia!O267*Zalozenia!M95</f>
        <v>62028213.306183025</v>
      </c>
      <c r="O33" s="41">
        <f ca="1">Zalozenia!P267*Zalozenia!N95</f>
        <v>57343250.7069702</v>
      </c>
      <c r="P33" s="41">
        <f ca="1">Zalozenia!Q267*Zalozenia!O95</f>
        <v>43945294.934313618</v>
      </c>
      <c r="Q33" s="41">
        <f ca="1">Zalozenia!R267*Zalozenia!P95</f>
        <v>41023676.191631071</v>
      </c>
      <c r="R33" s="41">
        <f ca="1">Zalozenia!S267*Zalozenia!Q95</f>
        <v>2912865.8959926059</v>
      </c>
      <c r="S33" s="39">
        <f t="shared" si="2"/>
        <v>265302557.1052289</v>
      </c>
    </row>
    <row r="34" spans="1:19">
      <c r="A34" s="12"/>
      <c r="B34" s="13">
        <f ca="1">Zalozenia!M268</f>
        <v>2041</v>
      </c>
      <c r="C34" s="40">
        <f ca="1">Zalozenia!C268*Zalozenia!C96</f>
        <v>27523237.900300771</v>
      </c>
      <c r="D34" s="41">
        <f ca="1">Zalozenia!D268*Zalozenia!D96</f>
        <v>35065536.113325454</v>
      </c>
      <c r="E34" s="41">
        <f ca="1">Zalozenia!E268*Zalozenia!E96</f>
        <v>33540947.586659141</v>
      </c>
      <c r="F34" s="41">
        <f ca="1">Zalozenia!F268*Zalozenia!F96</f>
        <v>20836043.197773095</v>
      </c>
      <c r="G34" s="41">
        <f ca="1">Zalozenia!G268*Zalozenia!G96</f>
        <v>28713083.918882445</v>
      </c>
      <c r="H34" s="118">
        <f ca="1">Zalozenia!H268*Zalozenia!H96</f>
        <v>0</v>
      </c>
      <c r="I34" s="37">
        <f t="shared" si="1"/>
        <v>145678848.71694091</v>
      </c>
      <c r="J34" s="4"/>
      <c r="K34" s="12"/>
      <c r="L34" s="13">
        <f t="shared" si="0"/>
        <v>2041</v>
      </c>
      <c r="M34" s="40">
        <f ca="1">Zalozenia!N268*Zalozenia!L96</f>
        <v>59619488.446835615</v>
      </c>
      <c r="N34" s="41">
        <f ca="1">Zalozenia!O268*Zalozenia!M96</f>
        <v>63706076.476115279</v>
      </c>
      <c r="O34" s="41">
        <f ca="1">Zalozenia!P268*Zalozenia!N96</f>
        <v>58894385.638593733</v>
      </c>
      <c r="P34" s="41">
        <f ca="1">Zalozenia!Q268*Zalozenia!O96</f>
        <v>45134015.162286796</v>
      </c>
      <c r="Q34" s="41">
        <f ca="1">Zalozenia!R268*Zalozenia!P96</f>
        <v>42133366.632614687</v>
      </c>
      <c r="R34" s="41">
        <f ca="1">Zalozenia!S268*Zalozenia!Q96</f>
        <v>2991658.918479206</v>
      </c>
      <c r="S34" s="39">
        <f t="shared" si="2"/>
        <v>272478991.27492529</v>
      </c>
    </row>
    <row r="35" spans="1:19">
      <c r="A35" s="12"/>
      <c r="B35" s="13">
        <f ca="1">Zalozenia!M269</f>
        <v>2042</v>
      </c>
      <c r="C35" s="40">
        <f ca="1">Zalozenia!C269*Zalozenia!C97</f>
        <v>28267741.485503905</v>
      </c>
      <c r="D35" s="41">
        <f ca="1">Zalozenia!D269*Zalozenia!D97</f>
        <v>36014058.865190901</v>
      </c>
      <c r="E35" s="41">
        <f ca="1">Zalozenia!E269*Zalozenia!E97</f>
        <v>34448230.218878269</v>
      </c>
      <c r="F35" s="41">
        <f ca="1">Zalozenia!F269*Zalozenia!F97</f>
        <v>21399658.166272856</v>
      </c>
      <c r="G35" s="41">
        <f ca="1">Zalozenia!G269*Zalozenia!G97</f>
        <v>29489772.838888213</v>
      </c>
      <c r="H35" s="118">
        <f ca="1">Zalozenia!H269*Zalozenia!H97</f>
        <v>0</v>
      </c>
      <c r="I35" s="37">
        <f t="shared" si="1"/>
        <v>149619461.57473415</v>
      </c>
      <c r="J35" s="4"/>
      <c r="K35" s="12"/>
      <c r="L35" s="13">
        <f t="shared" si="0"/>
        <v>2042</v>
      </c>
      <c r="M35" s="40">
        <f ca="1">Zalozenia!N269*Zalozenia!L97</f>
        <v>61232195.609322518</v>
      </c>
      <c r="N35" s="41">
        <f ca="1">Zalozenia!O269*Zalozenia!M97</f>
        <v>65429325.844794199</v>
      </c>
      <c r="O35" s="41">
        <f ca="1">Zalozenia!P269*Zalozenia!N97</f>
        <v>60487478.770117685</v>
      </c>
      <c r="P35" s="41">
        <f ca="1">Zalozenia!Q269*Zalozenia!O97</f>
        <v>46354890.27242665</v>
      </c>
      <c r="Q35" s="41">
        <f ca="1">Zalozenia!R269*Zalozenia!P97</f>
        <v>43273074.200026907</v>
      </c>
      <c r="R35" s="41">
        <f ca="1">Zalozenia!S269*Zalozenia!Q97</f>
        <v>3072583.2922240682</v>
      </c>
      <c r="S35" s="39">
        <f t="shared" si="2"/>
        <v>279849547.98891205</v>
      </c>
    </row>
    <row r="36" spans="1:19">
      <c r="A36" s="12"/>
      <c r="B36" s="13">
        <f ca="1">Zalozenia!M270</f>
        <v>2043</v>
      </c>
      <c r="C36" s="40">
        <f ca="1">Zalozenia!C270*Zalozenia!C98</f>
        <v>29032383.892686777</v>
      </c>
      <c r="D36" s="41">
        <f ca="1">Zalozenia!D270*Zalozenia!D98</f>
        <v>36988239.157494314</v>
      </c>
      <c r="E36" s="41">
        <f ca="1">Zalozenia!E270*Zalozenia!E98</f>
        <v>35380054.846298926</v>
      </c>
      <c r="F36" s="41">
        <f ca="1">Zalozenia!F270*Zalozenia!F98</f>
        <v>21978518.919670537</v>
      </c>
      <c r="G36" s="41">
        <f ca="1">Zalozenia!G270*Zalozenia!G98</f>
        <v>30287471.194180138</v>
      </c>
      <c r="H36" s="118">
        <f ca="1">Zalozenia!H270*Zalozenia!H98</f>
        <v>0</v>
      </c>
      <c r="I36" s="37">
        <f t="shared" si="1"/>
        <v>153666668.01033071</v>
      </c>
      <c r="J36" s="4"/>
      <c r="K36" s="12"/>
      <c r="L36" s="13">
        <f t="shared" si="0"/>
        <v>2043</v>
      </c>
      <c r="M36" s="40">
        <f ca="1">Zalozenia!N270*Zalozenia!L98</f>
        <v>62888526.500554681</v>
      </c>
      <c r="N36" s="41">
        <f ca="1">Zalozenia!O270*Zalozenia!M98</f>
        <v>67199189.108895868</v>
      </c>
      <c r="O36" s="41">
        <f ca="1">Zalozenia!P270*Zalozenia!N98</f>
        <v>62123665.070849374</v>
      </c>
      <c r="P36" s="41">
        <f ca="1">Zalozenia!Q270*Zalozenia!O98</f>
        <v>47608790.054295786</v>
      </c>
      <c r="Q36" s="41">
        <f ca="1">Zalozenia!R270*Zalozenia!P98</f>
        <v>44443610.857137643</v>
      </c>
      <c r="R36" s="41">
        <f ca="1">Zalozenia!S270*Zalozenia!Q98</f>
        <v>3155696.6702787289</v>
      </c>
      <c r="S36" s="39">
        <f t="shared" si="2"/>
        <v>287419478.26201206</v>
      </c>
    </row>
    <row r="37" spans="1:19">
      <c r="A37" s="43"/>
      <c r="B37" s="13">
        <f ca="1">Zalozenia!M271</f>
        <v>2044</v>
      </c>
      <c r="C37" s="44">
        <f ca="1">Zalozenia!C271*Zalozenia!C99</f>
        <v>29817709.876983952</v>
      </c>
      <c r="D37" s="45">
        <f ca="1">Zalozenia!D271*Zalozenia!D99</f>
        <v>37988771.026704535</v>
      </c>
      <c r="E37" s="45">
        <f ca="1">Zalozenia!E271*Zalozenia!E99</f>
        <v>36337085.329891309</v>
      </c>
      <c r="F37" s="45">
        <f ca="1">Zalozenia!F271*Zalozenia!F99</f>
        <v>22573037.856447622</v>
      </c>
      <c r="G37" s="45">
        <f ca="1">Zalozenia!G271*Zalozenia!G99</f>
        <v>31106747.289982706</v>
      </c>
      <c r="H37" s="120">
        <f ca="1">Zalozenia!H271*Zalozenia!H99</f>
        <v>0</v>
      </c>
      <c r="I37" s="37">
        <f t="shared" si="1"/>
        <v>157823351.38001013</v>
      </c>
      <c r="J37" s="4"/>
      <c r="K37" s="43"/>
      <c r="L37" s="13">
        <f t="shared" si="0"/>
        <v>2044</v>
      </c>
      <c r="M37" s="44">
        <f ca="1">Zalozenia!N271*Zalozenia!L99</f>
        <v>64589661.142394684</v>
      </c>
      <c r="N37" s="45">
        <f ca="1">Zalozenia!O271*Zalozenia!M99</f>
        <v>69016927.174291492</v>
      </c>
      <c r="O37" s="45">
        <f ca="1">Zalozenia!P271*Zalozenia!N99</f>
        <v>63804110.211015835</v>
      </c>
      <c r="P37" s="45">
        <f ca="1">Zalozenia!Q271*Zalozenia!O99</f>
        <v>48896607.825264476</v>
      </c>
      <c r="Q37" s="45">
        <f ca="1">Zalozenia!R271*Zalozenia!P99</f>
        <v>45645810.530823208</v>
      </c>
      <c r="R37" s="45">
        <f ca="1">Zalozenia!S271*Zalozenia!Q99</f>
        <v>3241058.2652097684</v>
      </c>
      <c r="S37" s="39">
        <f t="shared" si="2"/>
        <v>295194175.14899951</v>
      </c>
    </row>
    <row r="39" spans="1:19">
      <c r="A39" s="175" t="s">
        <v>36</v>
      </c>
      <c r="B39" s="176"/>
      <c r="C39" s="176"/>
      <c r="D39" s="176"/>
      <c r="E39" s="176"/>
      <c r="F39" s="176"/>
      <c r="G39" s="176"/>
      <c r="H39" s="176"/>
      <c r="I39" s="177"/>
      <c r="J39" s="121"/>
      <c r="K39" s="175" t="s">
        <v>37</v>
      </c>
      <c r="L39" s="176"/>
      <c r="M39" s="176"/>
      <c r="N39" s="176"/>
      <c r="O39" s="176"/>
      <c r="P39" s="176"/>
      <c r="Q39" s="176"/>
      <c r="R39" s="176"/>
      <c r="S39" s="177"/>
    </row>
    <row r="40" spans="1:19">
      <c r="A40" s="134" t="s">
        <v>5</v>
      </c>
      <c r="B40" s="134"/>
      <c r="C40" s="6">
        <v>1</v>
      </c>
      <c r="D40" s="6">
        <v>2</v>
      </c>
      <c r="E40" s="6">
        <v>3</v>
      </c>
      <c r="F40" s="6">
        <v>4</v>
      </c>
      <c r="G40" s="6">
        <v>5</v>
      </c>
      <c r="H40" s="6"/>
      <c r="I40" s="6">
        <v>6</v>
      </c>
      <c r="J40" s="121"/>
      <c r="K40" s="134" t="s">
        <v>5</v>
      </c>
      <c r="L40" s="134"/>
      <c r="M40" s="6">
        <v>1</v>
      </c>
      <c r="N40" s="6">
        <v>2</v>
      </c>
      <c r="O40" s="6">
        <v>3</v>
      </c>
      <c r="P40" s="6"/>
      <c r="Q40" s="6"/>
      <c r="R40" s="6"/>
      <c r="S40" s="6"/>
    </row>
    <row r="41" spans="1:19" ht="21">
      <c r="A41" s="134" t="s">
        <v>6</v>
      </c>
      <c r="B41" s="134"/>
      <c r="C41" s="35" t="s">
        <v>78</v>
      </c>
      <c r="D41" s="35" t="s">
        <v>79</v>
      </c>
      <c r="E41" s="35" t="s">
        <v>80</v>
      </c>
      <c r="F41" s="35" t="s">
        <v>81</v>
      </c>
      <c r="G41" s="35" t="s">
        <v>82</v>
      </c>
      <c r="H41" s="35" t="s">
        <v>329</v>
      </c>
      <c r="I41" s="35" t="s">
        <v>237</v>
      </c>
      <c r="J41" s="121"/>
      <c r="K41" s="134" t="s">
        <v>6</v>
      </c>
      <c r="L41" s="134"/>
      <c r="M41" s="35" t="s">
        <v>78</v>
      </c>
      <c r="N41" s="35" t="s">
        <v>79</v>
      </c>
      <c r="O41" s="35" t="s">
        <v>80</v>
      </c>
      <c r="P41" s="35" t="s">
        <v>81</v>
      </c>
      <c r="Q41" s="35" t="s">
        <v>82</v>
      </c>
      <c r="R41" s="35" t="s">
        <v>329</v>
      </c>
      <c r="S41" s="35" t="s">
        <v>237</v>
      </c>
    </row>
    <row r="42" spans="1:19" ht="21">
      <c r="A42" s="8"/>
      <c r="B42" s="9" t="s">
        <v>22</v>
      </c>
      <c r="C42" s="36" t="s">
        <v>28</v>
      </c>
      <c r="D42" s="36" t="s">
        <v>28</v>
      </c>
      <c r="E42" s="36" t="s">
        <v>28</v>
      </c>
      <c r="F42" s="36" t="s">
        <v>28</v>
      </c>
      <c r="G42" s="36" t="s">
        <v>28</v>
      </c>
      <c r="H42" s="36"/>
      <c r="I42" s="36" t="s">
        <v>28</v>
      </c>
      <c r="J42" s="121"/>
      <c r="K42" s="8"/>
      <c r="L42" s="9" t="s">
        <v>22</v>
      </c>
      <c r="M42" s="36" t="s">
        <v>28</v>
      </c>
      <c r="N42" s="36" t="s">
        <v>28</v>
      </c>
      <c r="O42" s="36" t="s">
        <v>28</v>
      </c>
      <c r="P42" s="36" t="s">
        <v>28</v>
      </c>
      <c r="Q42" s="36" t="s">
        <v>28</v>
      </c>
      <c r="R42" s="36" t="s">
        <v>28</v>
      </c>
      <c r="S42" s="36" t="s">
        <v>28</v>
      </c>
    </row>
    <row r="43" spans="1:19">
      <c r="A43" s="12"/>
      <c r="B43" s="13">
        <f>B8</f>
        <v>2015</v>
      </c>
      <c r="C43" s="37">
        <f ca="1">Zalozenia!C242*Zalozenia!C167</f>
        <v>2466072</v>
      </c>
      <c r="D43" s="37">
        <f ca="1">Zalozenia!D242*Zalozenia!D167</f>
        <v>3793482</v>
      </c>
      <c r="E43" s="37">
        <f ca="1">Zalozenia!E242*Zalozenia!E167</f>
        <v>4566408</v>
      </c>
      <c r="F43" s="37">
        <f ca="1">Zalozenia!F242*Zalozenia!F167</f>
        <v>2479106</v>
      </c>
      <c r="G43" s="37">
        <f ca="1">Zalozenia!G242*Zalozenia!G167</f>
        <v>2092986</v>
      </c>
      <c r="H43" s="37">
        <f ca="1">Zalozenia!H242*Zalozenia!H167</f>
        <v>0</v>
      </c>
      <c r="I43" s="37">
        <f>SUM(C43:H43)</f>
        <v>15398054</v>
      </c>
      <c r="J43" s="121"/>
      <c r="K43" s="12"/>
      <c r="L43" s="13">
        <f t="shared" ref="L43:L72" si="3">B43</f>
        <v>2015</v>
      </c>
      <c r="M43" s="37">
        <f ca="1">Zalozenia!N242*Zalozenia!L167</f>
        <v>3699108</v>
      </c>
      <c r="N43" s="37">
        <f ca="1">Zalozenia!O242*Zalozenia!M167</f>
        <v>7045038</v>
      </c>
      <c r="O43" s="37">
        <f ca="1">Zalozenia!P242*Zalozenia!N167</f>
        <v>6740888</v>
      </c>
      <c r="P43" s="37">
        <f ca="1">Zalozenia!Q242*Zalozenia!O167</f>
        <v>3718659</v>
      </c>
      <c r="Q43" s="37">
        <f ca="1">Zalozenia!R242*Zalozenia!P167</f>
        <v>3139479</v>
      </c>
      <c r="R43" s="37">
        <f ca="1">Zalozenia!S242*Zalozenia!Q167</f>
        <v>0</v>
      </c>
      <c r="S43" s="37">
        <f>SUM(M43:R43)</f>
        <v>24343172</v>
      </c>
    </row>
    <row r="44" spans="1:19">
      <c r="A44" s="12"/>
      <c r="B44" s="13">
        <f t="shared" ref="B44:B72" si="4">B9</f>
        <v>2016</v>
      </c>
      <c r="C44" s="40">
        <f ca="1">Zalozenia!C243*Zalozenia!C168</f>
        <v>2471004.1440000003</v>
      </c>
      <c r="D44" s="41">
        <f ca="1">Zalozenia!D243*Zalozenia!D168</f>
        <v>3801068.9640000002</v>
      </c>
      <c r="E44" s="41">
        <f ca="1">Zalozenia!E243*Zalozenia!E168</f>
        <v>4575540.8159999996</v>
      </c>
      <c r="F44" s="41">
        <f ca="1">Zalozenia!F243*Zalozenia!F168</f>
        <v>2484064.2119999998</v>
      </c>
      <c r="G44" s="41">
        <f ca="1">Zalozenia!G243*Zalozenia!G168</f>
        <v>2097171.9720000001</v>
      </c>
      <c r="H44" s="118">
        <f ca="1">Zalozenia!H243*Zalozenia!H168</f>
        <v>0</v>
      </c>
      <c r="I44" s="37">
        <f t="shared" ref="I44:I72" si="5">SUM(C44:H44)</f>
        <v>15428850.107999999</v>
      </c>
      <c r="J44" s="121"/>
      <c r="K44" s="12"/>
      <c r="L44" s="13">
        <f t="shared" si="3"/>
        <v>2016</v>
      </c>
      <c r="M44" s="40">
        <f ca="1">Zalozenia!N243*Zalozenia!L168</f>
        <v>3706506.216</v>
      </c>
      <c r="N44" s="41">
        <f ca="1">Zalozenia!O243*Zalozenia!M168</f>
        <v>7059128.0760000013</v>
      </c>
      <c r="O44" s="41">
        <f ca="1">Zalozenia!P243*Zalozenia!N168</f>
        <v>6754369.7759999996</v>
      </c>
      <c r="P44" s="41">
        <f ca="1">Zalozenia!Q243*Zalozenia!O168</f>
        <v>3726096.318</v>
      </c>
      <c r="Q44" s="41">
        <f ca="1">Zalozenia!R243*Zalozenia!P168</f>
        <v>3145757.9579999996</v>
      </c>
      <c r="R44" s="118">
        <f ca="1">Zalozenia!S243*Zalozenia!Q168</f>
        <v>0</v>
      </c>
      <c r="S44" s="37">
        <f t="shared" ref="S44:S72" si="6">SUM(M44:R44)</f>
        <v>24391858.344000001</v>
      </c>
    </row>
    <row r="45" spans="1:19">
      <c r="A45" s="12"/>
      <c r="B45" s="13">
        <f t="shared" si="4"/>
        <v>2017</v>
      </c>
      <c r="C45" s="40">
        <f ca="1">Zalozenia!C244*Zalozenia!C169</f>
        <v>2475946.1522880001</v>
      </c>
      <c r="D45" s="41">
        <f ca="1">Zalozenia!D244*Zalozenia!D169</f>
        <v>3808671.1019280003</v>
      </c>
      <c r="E45" s="41">
        <f ca="1">Zalozenia!E244*Zalozenia!E169</f>
        <v>4584691.897632</v>
      </c>
      <c r="F45" s="41">
        <f ca="1">Zalozenia!F244*Zalozenia!F169</f>
        <v>2489032.3404239998</v>
      </c>
      <c r="G45" s="41">
        <f ca="1">Zalozenia!G244*Zalozenia!G169</f>
        <v>2101366.3159439997</v>
      </c>
      <c r="H45" s="118">
        <f ca="1">Zalozenia!H244*Zalozenia!H169</f>
        <v>0</v>
      </c>
      <c r="I45" s="37">
        <f t="shared" si="5"/>
        <v>15459707.808215998</v>
      </c>
      <c r="J45" s="121"/>
      <c r="K45" s="12"/>
      <c r="L45" s="13">
        <f t="shared" si="3"/>
        <v>2017</v>
      </c>
      <c r="M45" s="40">
        <f ca="1">Zalozenia!N244*Zalozenia!L169</f>
        <v>3713919.2284320001</v>
      </c>
      <c r="N45" s="41">
        <f ca="1">Zalozenia!O244*Zalozenia!M169</f>
        <v>7073246.3321520016</v>
      </c>
      <c r="O45" s="41">
        <f ca="1">Zalozenia!P244*Zalozenia!N169</f>
        <v>6767878.5155519992</v>
      </c>
      <c r="P45" s="41">
        <f ca="1">Zalozenia!Q244*Zalozenia!O169</f>
        <v>3733548.510636</v>
      </c>
      <c r="Q45" s="41">
        <f ca="1">Zalozenia!R244*Zalozenia!P169</f>
        <v>3152049.4739159998</v>
      </c>
      <c r="R45" s="118">
        <f ca="1">Zalozenia!S244*Zalozenia!Q169</f>
        <v>0</v>
      </c>
      <c r="S45" s="37">
        <f t="shared" si="6"/>
        <v>24440642.060688004</v>
      </c>
    </row>
    <row r="46" spans="1:19">
      <c r="A46" s="12"/>
      <c r="B46" s="13">
        <f t="shared" si="4"/>
        <v>2018</v>
      </c>
      <c r="C46" s="40">
        <f ca="1">Zalozenia!C245*Zalozenia!C170</f>
        <v>2480898.0445925761</v>
      </c>
      <c r="D46" s="41">
        <f ca="1">Zalozenia!D245*Zalozenia!D170</f>
        <v>3816288.4441318563</v>
      </c>
      <c r="E46" s="41">
        <f ca="1">Zalozenia!E245*Zalozenia!E170</f>
        <v>4593861.2814272642</v>
      </c>
      <c r="F46" s="41">
        <f ca="1">Zalozenia!F245*Zalozenia!F170</f>
        <v>2494010.4051048481</v>
      </c>
      <c r="G46" s="41">
        <f ca="1">Zalozenia!G245*Zalozenia!G170</f>
        <v>2105569.0485758879</v>
      </c>
      <c r="H46" s="118">
        <f ca="1">Zalozenia!H245*Zalozenia!H170</f>
        <v>0</v>
      </c>
      <c r="I46" s="37">
        <f t="shared" si="5"/>
        <v>15490627.223832432</v>
      </c>
      <c r="J46" s="121"/>
      <c r="K46" s="12"/>
      <c r="L46" s="13">
        <f t="shared" si="3"/>
        <v>2018</v>
      </c>
      <c r="M46" s="40">
        <f ca="1">Zalozenia!N245*Zalozenia!L170</f>
        <v>3721347.0668888642</v>
      </c>
      <c r="N46" s="41">
        <f ca="1">Zalozenia!O245*Zalozenia!M170</f>
        <v>7087392.8248163052</v>
      </c>
      <c r="O46" s="41">
        <f ca="1">Zalozenia!P245*Zalozenia!N170</f>
        <v>6781414.2725831037</v>
      </c>
      <c r="P46" s="41">
        <f ca="1">Zalozenia!Q245*Zalozenia!O170</f>
        <v>3741015.6076572719</v>
      </c>
      <c r="Q46" s="41">
        <f ca="1">Zalozenia!R245*Zalozenia!P170</f>
        <v>3158353.5728638321</v>
      </c>
      <c r="R46" s="118">
        <f ca="1">Zalozenia!S245*Zalozenia!Q170</f>
        <v>0</v>
      </c>
      <c r="S46" s="37">
        <f t="shared" si="6"/>
        <v>24489523.344809379</v>
      </c>
    </row>
    <row r="47" spans="1:19">
      <c r="A47" s="12"/>
      <c r="B47" s="13">
        <f t="shared" si="4"/>
        <v>2019</v>
      </c>
      <c r="C47" s="40">
        <f ca="1">Zalozenia!C246*Zalozenia!C171</f>
        <v>2485859.8406817615</v>
      </c>
      <c r="D47" s="41">
        <f ca="1">Zalozenia!D246*Zalozenia!D171</f>
        <v>3823921.02102012</v>
      </c>
      <c r="E47" s="41">
        <f ca="1">Zalozenia!E246*Zalozenia!E171</f>
        <v>4603049.0039901193</v>
      </c>
      <c r="F47" s="41">
        <f ca="1">Zalozenia!F246*Zalozenia!F171</f>
        <v>2498998.4259150573</v>
      </c>
      <c r="G47" s="41">
        <f ca="1">Zalozenia!G246*Zalozenia!G171</f>
        <v>2109780.18667304</v>
      </c>
      <c r="H47" s="118">
        <f ca="1">Zalozenia!H246*Zalozenia!H171</f>
        <v>0</v>
      </c>
      <c r="I47" s="37">
        <f t="shared" si="5"/>
        <v>15521608.478280097</v>
      </c>
      <c r="J47" s="121"/>
      <c r="K47" s="12"/>
      <c r="L47" s="13">
        <f t="shared" si="3"/>
        <v>2019</v>
      </c>
      <c r="M47" s="40">
        <f ca="1">Zalozenia!N246*Zalozenia!L171</f>
        <v>3728789.7610226423</v>
      </c>
      <c r="N47" s="41">
        <f ca="1">Zalozenia!O246*Zalozenia!M171</f>
        <v>7101567.6104659392</v>
      </c>
      <c r="O47" s="41">
        <f ca="1">Zalozenia!P246*Zalozenia!N171</f>
        <v>6794977.101128269</v>
      </c>
      <c r="P47" s="41">
        <f ca="1">Zalozenia!Q246*Zalozenia!O171</f>
        <v>3748497.6388725862</v>
      </c>
      <c r="Q47" s="41">
        <f ca="1">Zalozenia!R246*Zalozenia!P171</f>
        <v>3164670.2800095598</v>
      </c>
      <c r="R47" s="118">
        <f ca="1">Zalozenia!S246*Zalozenia!Q171</f>
        <v>0</v>
      </c>
      <c r="S47" s="37">
        <f t="shared" si="6"/>
        <v>24538502.391498998</v>
      </c>
    </row>
    <row r="48" spans="1:19">
      <c r="A48" s="12"/>
      <c r="B48" s="13">
        <f t="shared" si="4"/>
        <v>2020</v>
      </c>
      <c r="C48" s="40">
        <f ca="1">Zalozenia!C247*Zalozenia!C172</f>
        <v>2490831.5603631251</v>
      </c>
      <c r="D48" s="41">
        <f ca="1">Zalozenia!D247*Zalozenia!D172</f>
        <v>3831568.8630621601</v>
      </c>
      <c r="E48" s="41">
        <f ca="1">Zalozenia!E247*Zalozenia!E172</f>
        <v>4612255.1019980991</v>
      </c>
      <c r="F48" s="41">
        <f ca="1">Zalozenia!F247*Zalozenia!F172</f>
        <v>2503996.4227668876</v>
      </c>
      <c r="G48" s="41">
        <f ca="1">Zalozenia!G247*Zalozenia!G172</f>
        <v>2113999.7470463859</v>
      </c>
      <c r="H48" s="118">
        <f ca="1">Zalozenia!H247*Zalozenia!H172</f>
        <v>0</v>
      </c>
      <c r="I48" s="37">
        <f t="shared" si="5"/>
        <v>15552651.695236657</v>
      </c>
      <c r="J48" s="121"/>
      <c r="K48" s="12"/>
      <c r="L48" s="13">
        <f t="shared" si="3"/>
        <v>2020</v>
      </c>
      <c r="M48" s="40">
        <f ca="1">Zalozenia!N247*Zalozenia!L172</f>
        <v>3736247.3405446871</v>
      </c>
      <c r="N48" s="41">
        <f ca="1">Zalozenia!O247*Zalozenia!M172</f>
        <v>7115770.745686871</v>
      </c>
      <c r="O48" s="41">
        <f ca="1">Zalozenia!P247*Zalozenia!N172</f>
        <v>6808567.0553305261</v>
      </c>
      <c r="P48" s="41">
        <f ca="1">Zalozenia!Q247*Zalozenia!O172</f>
        <v>3755994.6341503314</v>
      </c>
      <c r="Q48" s="41">
        <f ca="1">Zalozenia!R247*Zalozenia!P172</f>
        <v>3170999.6205695788</v>
      </c>
      <c r="R48" s="118">
        <f ca="1">Zalozenia!S247*Zalozenia!Q172</f>
        <v>0</v>
      </c>
      <c r="S48" s="37">
        <f t="shared" si="6"/>
        <v>24587579.396281991</v>
      </c>
    </row>
    <row r="49" spans="1:19">
      <c r="A49" s="12"/>
      <c r="B49" s="13">
        <f t="shared" si="4"/>
        <v>2021</v>
      </c>
      <c r="C49" s="40">
        <f ca="1">Zalozenia!C248*Zalozenia!C173</f>
        <v>2495813.2234838512</v>
      </c>
      <c r="D49" s="41">
        <f ca="1">Zalozenia!D248*Zalozenia!D173</f>
        <v>3839232.0007882845</v>
      </c>
      <c r="E49" s="41">
        <f ca="1">Zalozenia!E248*Zalozenia!E173</f>
        <v>4621479.6122020949</v>
      </c>
      <c r="F49" s="41">
        <f ca="1">Zalozenia!F248*Zalozenia!F173</f>
        <v>2509004.415612421</v>
      </c>
      <c r="G49" s="41">
        <f ca="1">Zalozenia!G248*Zalozenia!G173</f>
        <v>2118227.7465404789</v>
      </c>
      <c r="H49" s="118">
        <f ca="1">Zalozenia!H248*Zalozenia!H173</f>
        <v>0</v>
      </c>
      <c r="I49" s="37">
        <f t="shared" si="5"/>
        <v>15583756.99862713</v>
      </c>
      <c r="J49" s="121"/>
      <c r="K49" s="12"/>
      <c r="L49" s="13">
        <f t="shared" si="3"/>
        <v>2021</v>
      </c>
      <c r="M49" s="40">
        <f ca="1">Zalozenia!N248*Zalozenia!L173</f>
        <v>3743719.8352257768</v>
      </c>
      <c r="N49" s="41">
        <f ca="1">Zalozenia!O248*Zalozenia!M173</f>
        <v>7130002.2871782454</v>
      </c>
      <c r="O49" s="41">
        <f ca="1">Zalozenia!P248*Zalozenia!N173</f>
        <v>6822184.1894411873</v>
      </c>
      <c r="P49" s="41">
        <f ca="1">Zalozenia!Q248*Zalozenia!O173</f>
        <v>3763506.623418632</v>
      </c>
      <c r="Q49" s="41">
        <f ca="1">Zalozenia!R248*Zalozenia!P173</f>
        <v>3177341.6198107181</v>
      </c>
      <c r="R49" s="118">
        <f ca="1">Zalozenia!S248*Zalozenia!Q173</f>
        <v>0</v>
      </c>
      <c r="S49" s="37">
        <f t="shared" si="6"/>
        <v>24636754.555074561</v>
      </c>
    </row>
    <row r="50" spans="1:19">
      <c r="A50" s="12"/>
      <c r="B50" s="13">
        <f t="shared" si="4"/>
        <v>2022</v>
      </c>
      <c r="C50" s="40">
        <f ca="1">Zalozenia!C249*Zalozenia!C174</f>
        <v>2500804.8499308191</v>
      </c>
      <c r="D50" s="41">
        <f ca="1">Zalozenia!D249*Zalozenia!D174</f>
        <v>3846910.4647898613</v>
      </c>
      <c r="E50" s="41">
        <f ca="1">Zalozenia!E249*Zalozenia!E174</f>
        <v>4630722.5714264987</v>
      </c>
      <c r="F50" s="41">
        <f ca="1">Zalozenia!F249*Zalozenia!F174</f>
        <v>2514022.4244436459</v>
      </c>
      <c r="G50" s="41">
        <f ca="1">Zalozenia!G249*Zalozenia!G174</f>
        <v>2122464.2020335598</v>
      </c>
      <c r="H50" s="118">
        <f ca="1">Zalozenia!H249*Zalozenia!H174</f>
        <v>0</v>
      </c>
      <c r="I50" s="37">
        <f t="shared" si="5"/>
        <v>15614924.512624383</v>
      </c>
      <c r="J50" s="121"/>
      <c r="K50" s="12"/>
      <c r="L50" s="13">
        <f t="shared" si="3"/>
        <v>2022</v>
      </c>
      <c r="M50" s="40">
        <f ca="1">Zalozenia!N249*Zalozenia!L174</f>
        <v>3751207.2748962282</v>
      </c>
      <c r="N50" s="41">
        <f ca="1">Zalozenia!O249*Zalozenia!M174</f>
        <v>7144262.291752601</v>
      </c>
      <c r="O50" s="41">
        <f ca="1">Zalozenia!P249*Zalozenia!N174</f>
        <v>6835828.5578200696</v>
      </c>
      <c r="P50" s="41">
        <f ca="1">Zalozenia!Q249*Zalozenia!O174</f>
        <v>3771033.6366654695</v>
      </c>
      <c r="Q50" s="41">
        <f ca="1">Zalozenia!R249*Zalozenia!P174</f>
        <v>3183696.3030503392</v>
      </c>
      <c r="R50" s="118">
        <f ca="1">Zalozenia!S249*Zalozenia!Q174</f>
        <v>0</v>
      </c>
      <c r="S50" s="37">
        <f t="shared" si="6"/>
        <v>24686028.06418471</v>
      </c>
    </row>
    <row r="51" spans="1:19">
      <c r="A51" s="12"/>
      <c r="B51" s="13">
        <f t="shared" si="4"/>
        <v>2023</v>
      </c>
      <c r="C51" s="40">
        <f ca="1">Zalozenia!C250*Zalozenia!C175</f>
        <v>2505806.4596306807</v>
      </c>
      <c r="D51" s="41">
        <f ca="1">Zalozenia!D250*Zalozenia!D175</f>
        <v>3854604.2857194417</v>
      </c>
      <c r="E51" s="41">
        <f ca="1">Zalozenia!E250*Zalozenia!E175</f>
        <v>4639984.0165693518</v>
      </c>
      <c r="F51" s="41">
        <f ca="1">Zalozenia!F250*Zalozenia!F175</f>
        <v>2519050.4692925331</v>
      </c>
      <c r="G51" s="41">
        <f ca="1">Zalozenia!G250*Zalozenia!G175</f>
        <v>2126709.130437627</v>
      </c>
      <c r="H51" s="118">
        <f ca="1">Zalozenia!H250*Zalozenia!H175</f>
        <v>0</v>
      </c>
      <c r="I51" s="37">
        <f t="shared" si="5"/>
        <v>15646154.361649634</v>
      </c>
      <c r="J51" s="121"/>
      <c r="K51" s="12"/>
      <c r="L51" s="13">
        <f t="shared" si="3"/>
        <v>2023</v>
      </c>
      <c r="M51" s="40">
        <f ca="1">Zalozenia!N250*Zalozenia!L175</f>
        <v>3758709.6894460204</v>
      </c>
      <c r="N51" s="41">
        <f ca="1">Zalozenia!O250*Zalozenia!M175</f>
        <v>7158550.8163361065</v>
      </c>
      <c r="O51" s="41">
        <f ca="1">Zalozenia!P250*Zalozenia!N175</f>
        <v>6849500.2149357097</v>
      </c>
      <c r="P51" s="41">
        <f ca="1">Zalozenia!Q250*Zalozenia!O175</f>
        <v>3778575.7039388004</v>
      </c>
      <c r="Q51" s="41">
        <f ca="1">Zalozenia!R250*Zalozenia!P175</f>
        <v>3190063.6956564402</v>
      </c>
      <c r="R51" s="118">
        <f ca="1">Zalozenia!S250*Zalozenia!Q175</f>
        <v>0</v>
      </c>
      <c r="S51" s="37">
        <f t="shared" si="6"/>
        <v>24735400.120313078</v>
      </c>
    </row>
    <row r="52" spans="1:19">
      <c r="A52" s="12"/>
      <c r="B52" s="13">
        <f t="shared" si="4"/>
        <v>2024</v>
      </c>
      <c r="C52" s="40">
        <f ca="1">Zalozenia!C251*Zalozenia!C176</f>
        <v>2510818.0725499424</v>
      </c>
      <c r="D52" s="41">
        <f ca="1">Zalozenia!D251*Zalozenia!D176</f>
        <v>3862313.4942908804</v>
      </c>
      <c r="E52" s="41">
        <f ca="1">Zalozenia!E251*Zalozenia!E176</f>
        <v>4649263.9846024904</v>
      </c>
      <c r="F52" s="41">
        <f ca="1">Zalozenia!F251*Zalozenia!F176</f>
        <v>2524088.5702311182</v>
      </c>
      <c r="G52" s="41">
        <f ca="1">Zalozenia!G251*Zalozenia!G176</f>
        <v>2130962.5486985021</v>
      </c>
      <c r="H52" s="118">
        <f ca="1">Zalozenia!H251*Zalozenia!H176</f>
        <v>0</v>
      </c>
      <c r="I52" s="37">
        <f t="shared" si="5"/>
        <v>15677446.670372931</v>
      </c>
      <c r="J52" s="121"/>
      <c r="K52" s="12"/>
      <c r="L52" s="13">
        <f t="shared" si="3"/>
        <v>2024</v>
      </c>
      <c r="M52" s="40">
        <f ca="1">Zalozenia!N251*Zalozenia!L176</f>
        <v>3766227.1088249129</v>
      </c>
      <c r="N52" s="41">
        <f ca="1">Zalozenia!O251*Zalozenia!M176</f>
        <v>7172867.9179687789</v>
      </c>
      <c r="O52" s="41">
        <f ca="1">Zalozenia!P251*Zalozenia!N176</f>
        <v>6863199.2153655812</v>
      </c>
      <c r="P52" s="41">
        <f ca="1">Zalozenia!Q251*Zalozenia!O176</f>
        <v>3786132.8553466783</v>
      </c>
      <c r="Q52" s="41">
        <f ca="1">Zalozenia!R251*Zalozenia!P176</f>
        <v>3196443.823047753</v>
      </c>
      <c r="R52" s="118">
        <f ca="1">Zalozenia!S251*Zalozenia!Q176</f>
        <v>0</v>
      </c>
      <c r="S52" s="37">
        <f t="shared" si="6"/>
        <v>24784870.920553707</v>
      </c>
    </row>
    <row r="53" spans="1:19">
      <c r="A53" s="12"/>
      <c r="B53" s="13">
        <f t="shared" si="4"/>
        <v>2025</v>
      </c>
      <c r="C53" s="40">
        <f ca="1">Zalozenia!C252*Zalozenia!C177</f>
        <v>2515839.7086950424</v>
      </c>
      <c r="D53" s="41">
        <f ca="1">Zalozenia!D252*Zalozenia!D177</f>
        <v>3870038.1212794618</v>
      </c>
      <c r="E53" s="41">
        <f ca="1">Zalozenia!E252*Zalozenia!E177</f>
        <v>4638766.9211585019</v>
      </c>
      <c r="F53" s="41">
        <f ca="1">Zalozenia!F252*Zalozenia!F177</f>
        <v>2529136.7473715805</v>
      </c>
      <c r="G53" s="41">
        <f ca="1">Zalozenia!G252*Zalozenia!G177</f>
        <v>2135224.4737958992</v>
      </c>
      <c r="H53" s="118">
        <f ca="1">Zalozenia!H252*Zalozenia!H177</f>
        <v>0</v>
      </c>
      <c r="I53" s="37">
        <f t="shared" si="5"/>
        <v>15689005.972300485</v>
      </c>
      <c r="J53" s="121"/>
      <c r="K53" s="12"/>
      <c r="L53" s="13">
        <f t="shared" si="3"/>
        <v>2025</v>
      </c>
      <c r="M53" s="40">
        <f ca="1">Zalozenia!N252*Zalozenia!L177</f>
        <v>3773759.5630425625</v>
      </c>
      <c r="N53" s="41">
        <f ca="1">Zalozenia!O252*Zalozenia!M177</f>
        <v>7187213.6538047167</v>
      </c>
      <c r="O53" s="41">
        <f ca="1">Zalozenia!P252*Zalozenia!N177</f>
        <v>6847703.5502815973</v>
      </c>
      <c r="P53" s="41">
        <f ca="1">Zalozenia!Q252*Zalozenia!O177</f>
        <v>3793705.1210573711</v>
      </c>
      <c r="Q53" s="41">
        <f ca="1">Zalozenia!R252*Zalozenia!P177</f>
        <v>3202836.7106938488</v>
      </c>
      <c r="R53" s="118">
        <f ca="1">Zalozenia!S252*Zalozenia!Q177</f>
        <v>0</v>
      </c>
      <c r="S53" s="37">
        <f t="shared" si="6"/>
        <v>24805218.598880097</v>
      </c>
    </row>
    <row r="54" spans="1:19">
      <c r="A54" s="12"/>
      <c r="B54" s="13">
        <f t="shared" si="4"/>
        <v>2026</v>
      </c>
      <c r="C54" s="40">
        <f ca="1">Zalozenia!C253*Zalozenia!C178</f>
        <v>2520871.3881124328</v>
      </c>
      <c r="D54" s="41">
        <f ca="1">Zalozenia!D253*Zalozenia!D178</f>
        <v>3877778.1975220204</v>
      </c>
      <c r="E54" s="41">
        <f ca="1">Zalozenia!E253*Zalozenia!E178</f>
        <v>4648044.4550008187</v>
      </c>
      <c r="F54" s="41">
        <f ca="1">Zalozenia!F253*Zalozenia!F178</f>
        <v>2534195.0208663237</v>
      </c>
      <c r="G54" s="41">
        <f ca="1">Zalozenia!G253*Zalozenia!G178</f>
        <v>2139494.9227434909</v>
      </c>
      <c r="H54" s="118">
        <f ca="1">Zalozenia!H253*Zalozenia!H178</f>
        <v>0</v>
      </c>
      <c r="I54" s="37">
        <f t="shared" si="5"/>
        <v>15720383.984245088</v>
      </c>
      <c r="J54" s="121"/>
      <c r="K54" s="12"/>
      <c r="L54" s="13">
        <f t="shared" si="3"/>
        <v>2026</v>
      </c>
      <c r="M54" s="40">
        <f ca="1">Zalozenia!N253*Zalozenia!L178</f>
        <v>5460588</v>
      </c>
      <c r="N54" s="41">
        <f ca="1">Zalozenia!O253*Zalozenia!M178</f>
        <v>7045038</v>
      </c>
      <c r="O54" s="41">
        <f ca="1">Zalozenia!P253*Zalozenia!N178</f>
        <v>8161478.5</v>
      </c>
      <c r="P54" s="41">
        <f ca="1">Zalozenia!Q253*Zalozenia!O178</f>
        <v>5489449</v>
      </c>
      <c r="Q54" s="41">
        <f ca="1">Zalozenia!R253*Zalozenia!P178</f>
        <v>3139479</v>
      </c>
      <c r="R54" s="118">
        <f ca="1">Zalozenia!S253*Zalozenia!Q178</f>
        <v>0</v>
      </c>
      <c r="S54" s="37">
        <f t="shared" si="6"/>
        <v>29296032.5</v>
      </c>
    </row>
    <row r="55" spans="1:19">
      <c r="A55" s="12"/>
      <c r="B55" s="13">
        <f t="shared" si="4"/>
        <v>2027</v>
      </c>
      <c r="C55" s="40">
        <f ca="1">Zalozenia!C254*Zalozenia!C179</f>
        <v>2525913.1308886572</v>
      </c>
      <c r="D55" s="41">
        <f ca="1">Zalozenia!D254*Zalozenia!D179</f>
        <v>3885533.7539170645</v>
      </c>
      <c r="E55" s="41">
        <f ca="1">Zalozenia!E254*Zalozenia!E179</f>
        <v>4657340.543910821</v>
      </c>
      <c r="F55" s="41">
        <f ca="1">Zalozenia!F254*Zalozenia!F179</f>
        <v>2539263.4109080564</v>
      </c>
      <c r="G55" s="41">
        <f ca="1">Zalozenia!G254*Zalozenia!G179</f>
        <v>2143773.9125889782</v>
      </c>
      <c r="H55" s="118">
        <f ca="1">Zalozenia!H254*Zalozenia!H179</f>
        <v>0</v>
      </c>
      <c r="I55" s="37">
        <f t="shared" si="5"/>
        <v>15751824.752213579</v>
      </c>
      <c r="J55" s="121"/>
      <c r="K55" s="12"/>
      <c r="L55" s="13">
        <f t="shared" si="3"/>
        <v>2027</v>
      </c>
      <c r="M55" s="40">
        <f ca="1">Zalozenia!N254*Zalozenia!L179</f>
        <v>5471509.1760000009</v>
      </c>
      <c r="N55" s="41">
        <f ca="1">Zalozenia!O254*Zalozenia!M179</f>
        <v>7059128.0760000013</v>
      </c>
      <c r="O55" s="41">
        <f ca="1">Zalozenia!P254*Zalozenia!N179</f>
        <v>8177801.4569999995</v>
      </c>
      <c r="P55" s="41">
        <f ca="1">Zalozenia!Q254*Zalozenia!O179</f>
        <v>5500427.898</v>
      </c>
      <c r="Q55" s="41">
        <f ca="1">Zalozenia!R254*Zalozenia!P179</f>
        <v>3145757.9579999996</v>
      </c>
      <c r="R55" s="118">
        <f ca="1">Zalozenia!S254*Zalozenia!Q179</f>
        <v>0</v>
      </c>
      <c r="S55" s="37">
        <f t="shared" si="6"/>
        <v>29354624.565000001</v>
      </c>
    </row>
    <row r="56" spans="1:19">
      <c r="A56" s="12"/>
      <c r="B56" s="13">
        <f t="shared" si="4"/>
        <v>2028</v>
      </c>
      <c r="C56" s="40">
        <f ca="1">Zalozenia!C255*Zalozenia!C180</f>
        <v>2530964.9571504346</v>
      </c>
      <c r="D56" s="41">
        <f ca="1">Zalozenia!D255*Zalozenia!D180</f>
        <v>3893304.8214248987</v>
      </c>
      <c r="E56" s="41">
        <f ca="1">Zalozenia!E255*Zalozenia!E180</f>
        <v>4666655.2249986427</v>
      </c>
      <c r="F56" s="41">
        <f ca="1">Zalozenia!F255*Zalozenia!F180</f>
        <v>2544341.9377298723</v>
      </c>
      <c r="G56" s="41">
        <f ca="1">Zalozenia!G255*Zalozenia!G180</f>
        <v>2148061.4604141559</v>
      </c>
      <c r="H56" s="118">
        <f ca="1">Zalozenia!H255*Zalozenia!H180</f>
        <v>0</v>
      </c>
      <c r="I56" s="37">
        <f t="shared" si="5"/>
        <v>15783328.401718006</v>
      </c>
      <c r="J56" s="121"/>
      <c r="K56" s="12"/>
      <c r="L56" s="13">
        <f t="shared" si="3"/>
        <v>2028</v>
      </c>
      <c r="M56" s="40">
        <f ca="1">Zalozenia!N255*Zalozenia!L180</f>
        <v>5482452.194352</v>
      </c>
      <c r="N56" s="41">
        <f ca="1">Zalozenia!O255*Zalozenia!M180</f>
        <v>7073246.3321520016</v>
      </c>
      <c r="O56" s="41">
        <f ca="1">Zalozenia!P255*Zalozenia!N180</f>
        <v>8194157.0599140003</v>
      </c>
      <c r="P56" s="41">
        <f ca="1">Zalozenia!Q255*Zalozenia!O180</f>
        <v>5511428.753796</v>
      </c>
      <c r="Q56" s="41">
        <f ca="1">Zalozenia!R255*Zalozenia!P180</f>
        <v>3152049.4739159998</v>
      </c>
      <c r="R56" s="118">
        <f ca="1">Zalozenia!S255*Zalozenia!Q180</f>
        <v>0</v>
      </c>
      <c r="S56" s="37">
        <f t="shared" si="6"/>
        <v>29413333.814130001</v>
      </c>
    </row>
    <row r="57" spans="1:19">
      <c r="A57" s="12"/>
      <c r="B57" s="13">
        <f t="shared" si="4"/>
        <v>2029</v>
      </c>
      <c r="C57" s="40">
        <f ca="1">Zalozenia!C256*Zalozenia!C181</f>
        <v>2536026.8870647359</v>
      </c>
      <c r="D57" s="41">
        <f ca="1">Zalozenia!D256*Zalozenia!D181</f>
        <v>3901091.4310677485</v>
      </c>
      <c r="E57" s="41">
        <f ca="1">Zalozenia!E256*Zalozenia!E181</f>
        <v>4675988.5354486406</v>
      </c>
      <c r="F57" s="41">
        <f ca="1">Zalozenia!F256*Zalozenia!F181</f>
        <v>2549430.621605332</v>
      </c>
      <c r="G57" s="41">
        <f ca="1">Zalozenia!G256*Zalozenia!G181</f>
        <v>2152357.5833349838</v>
      </c>
      <c r="H57" s="118">
        <f ca="1">Zalozenia!H256*Zalozenia!H181</f>
        <v>0</v>
      </c>
      <c r="I57" s="37">
        <f t="shared" si="5"/>
        <v>15814895.05852144</v>
      </c>
      <c r="J57" s="121"/>
      <c r="K57" s="12"/>
      <c r="L57" s="13">
        <f t="shared" si="3"/>
        <v>2029</v>
      </c>
      <c r="M57" s="40">
        <f ca="1">Zalozenia!N256*Zalozenia!L181</f>
        <v>5493417.0987407044</v>
      </c>
      <c r="N57" s="41">
        <f ca="1">Zalozenia!O256*Zalozenia!M181</f>
        <v>7087392.8248163052</v>
      </c>
      <c r="O57" s="41">
        <f ca="1">Zalozenia!P256*Zalozenia!N181</f>
        <v>8210545.3740338283</v>
      </c>
      <c r="P57" s="41">
        <f ca="1">Zalozenia!Q256*Zalozenia!O181</f>
        <v>5522451.6113035921</v>
      </c>
      <c r="Q57" s="41">
        <f ca="1">Zalozenia!R256*Zalozenia!P181</f>
        <v>3158353.5728638321</v>
      </c>
      <c r="R57" s="118">
        <f ca="1">Zalozenia!S256*Zalozenia!Q181</f>
        <v>0</v>
      </c>
      <c r="S57" s="37">
        <f t="shared" si="6"/>
        <v>29472160.481758259</v>
      </c>
    </row>
    <row r="58" spans="1:19">
      <c r="A58" s="12"/>
      <c r="B58" s="13">
        <f t="shared" si="4"/>
        <v>2030</v>
      </c>
      <c r="C58" s="40">
        <f ca="1">Zalozenia!C257*Zalozenia!C182</f>
        <v>2541098.940838865</v>
      </c>
      <c r="D58" s="41">
        <f ca="1">Zalozenia!D257*Zalozenia!D182</f>
        <v>3908893.6139298836</v>
      </c>
      <c r="E58" s="41">
        <f ca="1">Zalozenia!E257*Zalozenia!E182</f>
        <v>4685340.5125195375</v>
      </c>
      <c r="F58" s="41">
        <f ca="1">Zalozenia!F257*Zalozenia!F182</f>
        <v>2554529.4828485427</v>
      </c>
      <c r="G58" s="41">
        <f ca="1">Zalozenia!G257*Zalozenia!G182</f>
        <v>2156662.2985016541</v>
      </c>
      <c r="H58" s="118">
        <f ca="1">Zalozenia!H257*Zalozenia!H182</f>
        <v>0</v>
      </c>
      <c r="I58" s="37">
        <f t="shared" si="5"/>
        <v>15846524.848638484</v>
      </c>
      <c r="J58" s="121"/>
      <c r="K58" s="12"/>
      <c r="L58" s="13">
        <f t="shared" si="3"/>
        <v>2030</v>
      </c>
      <c r="M58" s="40">
        <f ca="1">Zalozenia!N257*Zalozenia!L182</f>
        <v>5504403.9329381865</v>
      </c>
      <c r="N58" s="41">
        <f ca="1">Zalozenia!O257*Zalozenia!M182</f>
        <v>7101567.6104659392</v>
      </c>
      <c r="O58" s="41">
        <f ca="1">Zalozenia!P257*Zalozenia!N182</f>
        <v>8226966.4647818971</v>
      </c>
      <c r="P58" s="41">
        <f ca="1">Zalozenia!Q257*Zalozenia!O182</f>
        <v>5533496.5145261995</v>
      </c>
      <c r="Q58" s="41">
        <f ca="1">Zalozenia!R257*Zalozenia!P182</f>
        <v>3164670.2800095598</v>
      </c>
      <c r="R58" s="118">
        <f ca="1">Zalozenia!S257*Zalozenia!Q182</f>
        <v>0</v>
      </c>
      <c r="S58" s="37">
        <f t="shared" si="6"/>
        <v>29531104.80272178</v>
      </c>
    </row>
    <row r="59" spans="1:19">
      <c r="A59" s="12"/>
      <c r="B59" s="13">
        <f t="shared" si="4"/>
        <v>2031</v>
      </c>
      <c r="C59" s="40">
        <f ca="1">Zalozenia!C258*Zalozenia!C183</f>
        <v>2546181.1387205427</v>
      </c>
      <c r="D59" s="41">
        <f ca="1">Zalozenia!D258*Zalozenia!D183</f>
        <v>3916711.4011577433</v>
      </c>
      <c r="E59" s="41">
        <f ca="1">Zalozenia!E258*Zalozenia!E183</f>
        <v>4694711.1935445769</v>
      </c>
      <c r="F59" s="41">
        <f ca="1">Zalozenia!F258*Zalozenia!F183</f>
        <v>2559638.5418142402</v>
      </c>
      <c r="G59" s="41">
        <f ca="1">Zalozenia!G258*Zalozenia!G183</f>
        <v>2160975.6230986575</v>
      </c>
      <c r="H59" s="118">
        <f ca="1">Zalozenia!H258*Zalozenia!H183</f>
        <v>0</v>
      </c>
      <c r="I59" s="37">
        <f t="shared" si="5"/>
        <v>15878217.898335762</v>
      </c>
      <c r="J59" s="121"/>
      <c r="K59" s="12"/>
      <c r="L59" s="13">
        <f t="shared" si="3"/>
        <v>2031</v>
      </c>
      <c r="M59" s="40">
        <f ca="1">Zalozenia!N258*Zalozenia!L183</f>
        <v>5515412.7408040622</v>
      </c>
      <c r="N59" s="41">
        <f ca="1">Zalozenia!O258*Zalozenia!M183</f>
        <v>7115770.745686871</v>
      </c>
      <c r="O59" s="41">
        <f ca="1">Zalozenia!P258*Zalozenia!N183</f>
        <v>8243420.3977114614</v>
      </c>
      <c r="P59" s="41">
        <f ca="1">Zalozenia!Q258*Zalozenia!O183</f>
        <v>5544563.5075552519</v>
      </c>
      <c r="Q59" s="41">
        <f ca="1">Zalozenia!R258*Zalozenia!P183</f>
        <v>3170999.6205695788</v>
      </c>
      <c r="R59" s="118">
        <f ca="1">Zalozenia!S258*Zalozenia!Q183</f>
        <v>0</v>
      </c>
      <c r="S59" s="37">
        <f t="shared" si="6"/>
        <v>29590167.012327224</v>
      </c>
    </row>
    <row r="60" spans="1:19">
      <c r="A60" s="12"/>
      <c r="B60" s="13">
        <f t="shared" si="4"/>
        <v>2032</v>
      </c>
      <c r="C60" s="40">
        <f ca="1">Zalozenia!C259*Zalozenia!C184</f>
        <v>2551273.5009979839</v>
      </c>
      <c r="D60" s="41">
        <f ca="1">Zalozenia!D259*Zalozenia!D184</f>
        <v>3924544.8239600584</v>
      </c>
      <c r="E60" s="41">
        <f ca="1">Zalozenia!E259*Zalozenia!E184</f>
        <v>4704100.6159316655</v>
      </c>
      <c r="F60" s="41">
        <f ca="1">Zalozenia!F259*Zalozenia!F184</f>
        <v>2564757.8188978685</v>
      </c>
      <c r="G60" s="41">
        <f ca="1">Zalozenia!G259*Zalozenia!G184</f>
        <v>2165297.5743448543</v>
      </c>
      <c r="H60" s="118">
        <f ca="1">Zalozenia!H259*Zalozenia!H184</f>
        <v>0</v>
      </c>
      <c r="I60" s="37">
        <f t="shared" si="5"/>
        <v>15909974.334132433</v>
      </c>
      <c r="J60" s="121"/>
      <c r="K60" s="12"/>
      <c r="L60" s="13">
        <f t="shared" si="3"/>
        <v>2032</v>
      </c>
      <c r="M60" s="40">
        <f ca="1">Zalozenia!N259*Zalozenia!L184</f>
        <v>5526443.5662856698</v>
      </c>
      <c r="N60" s="41">
        <f ca="1">Zalozenia!O259*Zalozenia!M184</f>
        <v>7130002.2871782454</v>
      </c>
      <c r="O60" s="41">
        <f ca="1">Zalozenia!P259*Zalozenia!N184</f>
        <v>8259907.2385068843</v>
      </c>
      <c r="P60" s="41">
        <f ca="1">Zalozenia!Q259*Zalozenia!O184</f>
        <v>5555652.634570362</v>
      </c>
      <c r="Q60" s="41">
        <f ca="1">Zalozenia!R259*Zalozenia!P184</f>
        <v>3177341.6198107181</v>
      </c>
      <c r="R60" s="118">
        <f ca="1">Zalozenia!S259*Zalozenia!Q184</f>
        <v>0</v>
      </c>
      <c r="S60" s="37">
        <f t="shared" si="6"/>
        <v>29649347.346351881</v>
      </c>
    </row>
    <row r="61" spans="1:19">
      <c r="A61" s="12"/>
      <c r="B61" s="13">
        <f t="shared" si="4"/>
        <v>2033</v>
      </c>
      <c r="C61" s="40">
        <f ca="1">Zalozenia!C260*Zalozenia!C185</f>
        <v>2556376.0479999795</v>
      </c>
      <c r="D61" s="41">
        <f ca="1">Zalozenia!D260*Zalozenia!D185</f>
        <v>3932393.9136079787</v>
      </c>
      <c r="E61" s="41">
        <f ca="1">Zalozenia!E260*Zalozenia!E185</f>
        <v>4713508.8171635289</v>
      </c>
      <c r="F61" s="41">
        <f ca="1">Zalozenia!F260*Zalozenia!F185</f>
        <v>2569887.3345356644</v>
      </c>
      <c r="G61" s="41">
        <f ca="1">Zalozenia!G260*Zalozenia!G185</f>
        <v>2169628.1694935439</v>
      </c>
      <c r="H61" s="118">
        <f ca="1">Zalozenia!H260*Zalozenia!H185</f>
        <v>0</v>
      </c>
      <c r="I61" s="37">
        <f t="shared" si="5"/>
        <v>15941794.282800693</v>
      </c>
      <c r="J61" s="121"/>
      <c r="K61" s="12"/>
      <c r="L61" s="13">
        <f t="shared" si="3"/>
        <v>2033</v>
      </c>
      <c r="M61" s="40">
        <f ca="1">Zalozenia!N260*Zalozenia!L185</f>
        <v>5537496.4534182409</v>
      </c>
      <c r="N61" s="41">
        <f ca="1">Zalozenia!O260*Zalozenia!M185</f>
        <v>7144262.291752601</v>
      </c>
      <c r="O61" s="41">
        <f ca="1">Zalozenia!P260*Zalozenia!N185</f>
        <v>8276427.0529838977</v>
      </c>
      <c r="P61" s="41">
        <f ca="1">Zalozenia!Q260*Zalozenia!O185</f>
        <v>5566763.9398395037</v>
      </c>
      <c r="Q61" s="41">
        <f ca="1">Zalozenia!R260*Zalozenia!P185</f>
        <v>3183696.3030503392</v>
      </c>
      <c r="R61" s="118">
        <f ca="1">Zalozenia!S260*Zalozenia!Q185</f>
        <v>0</v>
      </c>
      <c r="S61" s="37">
        <f t="shared" si="6"/>
        <v>29708646.041044585</v>
      </c>
    </row>
    <row r="62" spans="1:19">
      <c r="A62" s="12"/>
      <c r="B62" s="13">
        <f t="shared" si="4"/>
        <v>2034</v>
      </c>
      <c r="C62" s="40">
        <f ca="1">Zalozenia!C261*Zalozenia!C186</f>
        <v>2561488.8000959796</v>
      </c>
      <c r="D62" s="41">
        <f ca="1">Zalozenia!D261*Zalozenia!D186</f>
        <v>3940258.7014351944</v>
      </c>
      <c r="E62" s="41">
        <f ca="1">Zalozenia!E261*Zalozenia!E186</f>
        <v>4722935.8347978564</v>
      </c>
      <c r="F62" s="41">
        <f ca="1">Zalozenia!F261*Zalozenia!F186</f>
        <v>2575027.1092047356</v>
      </c>
      <c r="G62" s="41">
        <f ca="1">Zalozenia!G261*Zalozenia!G186</f>
        <v>2173967.4258325314</v>
      </c>
      <c r="H62" s="118">
        <f ca="1">Zalozenia!H261*Zalozenia!H186</f>
        <v>0</v>
      </c>
      <c r="I62" s="37">
        <f t="shared" si="5"/>
        <v>15973677.8713663</v>
      </c>
      <c r="J62" s="121"/>
      <c r="K62" s="12"/>
      <c r="L62" s="13">
        <f t="shared" si="3"/>
        <v>2034</v>
      </c>
      <c r="M62" s="40">
        <f ca="1">Zalozenia!N261*Zalozenia!L186</f>
        <v>5548571.4463250786</v>
      </c>
      <c r="N62" s="41">
        <f ca="1">Zalozenia!O261*Zalozenia!M186</f>
        <v>7158550.8163361065</v>
      </c>
      <c r="O62" s="41">
        <f ca="1">Zalozenia!P261*Zalozenia!N186</f>
        <v>8292979.9070898658</v>
      </c>
      <c r="P62" s="41">
        <f ca="1">Zalozenia!Q261*Zalozenia!O186</f>
        <v>5577897.4677191824</v>
      </c>
      <c r="Q62" s="41">
        <f ca="1">Zalozenia!R261*Zalozenia!P186</f>
        <v>3190063.6956564402</v>
      </c>
      <c r="R62" s="118">
        <f ca="1">Zalozenia!S261*Zalozenia!Q186</f>
        <v>0</v>
      </c>
      <c r="S62" s="37">
        <f t="shared" si="6"/>
        <v>29768063.333126675</v>
      </c>
    </row>
    <row r="63" spans="1:19">
      <c r="A63" s="12"/>
      <c r="B63" s="13">
        <f t="shared" si="4"/>
        <v>2035</v>
      </c>
      <c r="C63" s="40">
        <f ca="1">Zalozenia!C262*Zalozenia!C187</f>
        <v>2566611.7776961718</v>
      </c>
      <c r="D63" s="41">
        <f ca="1">Zalozenia!D262*Zalozenia!D187</f>
        <v>3948139.2188380649</v>
      </c>
      <c r="E63" s="41">
        <f ca="1">Zalozenia!E262*Zalozenia!E187</f>
        <v>4732381.7064674515</v>
      </c>
      <c r="F63" s="41">
        <f ca="1">Zalozenia!F262*Zalozenia!F187</f>
        <v>2580177.1634231452</v>
      </c>
      <c r="G63" s="41">
        <f ca="1">Zalozenia!G262*Zalozenia!G187</f>
        <v>2178315.3606841965</v>
      </c>
      <c r="H63" s="118">
        <f ca="1">Zalozenia!H262*Zalozenia!H187</f>
        <v>0</v>
      </c>
      <c r="I63" s="37">
        <f t="shared" si="5"/>
        <v>16005625.22710903</v>
      </c>
      <c r="J63" s="121"/>
      <c r="K63" s="12"/>
      <c r="L63" s="13">
        <f t="shared" si="3"/>
        <v>2035</v>
      </c>
      <c r="M63" s="40">
        <f ca="1">Zalozenia!N262*Zalozenia!L187</f>
        <v>5559668.5892177289</v>
      </c>
      <c r="N63" s="41">
        <f ca="1">Zalozenia!O262*Zalozenia!M187</f>
        <v>7172867.9179687789</v>
      </c>
      <c r="O63" s="41">
        <f ca="1">Zalozenia!P262*Zalozenia!N187</f>
        <v>8309565.8669040455</v>
      </c>
      <c r="P63" s="41">
        <f ca="1">Zalozenia!Q262*Zalozenia!O187</f>
        <v>5589053.2626546212</v>
      </c>
      <c r="Q63" s="41">
        <f ca="1">Zalozenia!R262*Zalozenia!P187</f>
        <v>3196443.823047753</v>
      </c>
      <c r="R63" s="118">
        <f ca="1">Zalozenia!S262*Zalozenia!Q187</f>
        <v>0</v>
      </c>
      <c r="S63" s="37">
        <f t="shared" si="6"/>
        <v>29827599.459792927</v>
      </c>
    </row>
    <row r="64" spans="1:19">
      <c r="A64" s="12"/>
      <c r="B64" s="13">
        <f t="shared" si="4"/>
        <v>2036</v>
      </c>
      <c r="C64" s="40">
        <f ca="1">Zalozenia!C263*Zalozenia!C188</f>
        <v>2571745.0012515644</v>
      </c>
      <c r="D64" s="41">
        <f ca="1">Zalozenia!D263*Zalozenia!D188</f>
        <v>3956035.4972757408</v>
      </c>
      <c r="E64" s="41">
        <f ca="1">Zalozenia!E263*Zalozenia!E188</f>
        <v>4741846.4698803863</v>
      </c>
      <c r="F64" s="41">
        <f ca="1">Zalozenia!F263*Zalozenia!F188</f>
        <v>2585337.5177499917</v>
      </c>
      <c r="G64" s="41">
        <f ca="1">Zalozenia!G263*Zalozenia!G188</f>
        <v>2182671.9914055648</v>
      </c>
      <c r="H64" s="118">
        <f ca="1">Zalozenia!H263*Zalozenia!H188</f>
        <v>0</v>
      </c>
      <c r="I64" s="37">
        <f t="shared" si="5"/>
        <v>16037636.477563247</v>
      </c>
      <c r="J64" s="121"/>
      <c r="K64" s="12"/>
      <c r="L64" s="13">
        <f t="shared" si="3"/>
        <v>2036</v>
      </c>
      <c r="M64" s="40">
        <f ca="1">Zalozenia!N263*Zalozenia!L188</f>
        <v>5570787.926396165</v>
      </c>
      <c r="N64" s="41">
        <f ca="1">Zalozenia!O263*Zalozenia!M188</f>
        <v>7187213.6538047167</v>
      </c>
      <c r="O64" s="41">
        <f ca="1">Zalozenia!P263*Zalozenia!N188</f>
        <v>8326184.9986378541</v>
      </c>
      <c r="P64" s="41">
        <f ca="1">Zalozenia!Q263*Zalozenia!O188</f>
        <v>5600231.3691799305</v>
      </c>
      <c r="Q64" s="41">
        <f ca="1">Zalozenia!R263*Zalozenia!P188</f>
        <v>3202836.7106938488</v>
      </c>
      <c r="R64" s="118">
        <f ca="1">Zalozenia!S263*Zalozenia!Q188</f>
        <v>0</v>
      </c>
      <c r="S64" s="37">
        <f>SUM(M64:R64)</f>
        <v>29887254.658712514</v>
      </c>
    </row>
    <row r="65" spans="1:39">
      <c r="A65" s="12"/>
      <c r="B65" s="13">
        <f t="shared" si="4"/>
        <v>2037</v>
      </c>
      <c r="C65" s="40">
        <f ca="1">Zalozenia!C264*Zalozenia!C189</f>
        <v>2576888.491254067</v>
      </c>
      <c r="D65" s="41">
        <f ca="1">Zalozenia!D264*Zalozenia!D189</f>
        <v>3963947.5682702921</v>
      </c>
      <c r="E65" s="41">
        <f ca="1">Zalozenia!E264*Zalozenia!E189</f>
        <v>4751330.1628201474</v>
      </c>
      <c r="F65" s="41">
        <f ca="1">Zalozenia!F264*Zalozenia!F189</f>
        <v>2590508.1927854917</v>
      </c>
      <c r="G65" s="41">
        <f ca="1">Zalozenia!G264*Zalozenia!G189</f>
        <v>2187037.3353883759</v>
      </c>
      <c r="H65" s="118">
        <f ca="1">Zalozenia!H264*Zalozenia!H189</f>
        <v>0</v>
      </c>
      <c r="I65" s="37">
        <f t="shared" si="5"/>
        <v>16069711.750518374</v>
      </c>
      <c r="J65" s="121"/>
      <c r="K65" s="12"/>
      <c r="L65" s="13">
        <f t="shared" si="3"/>
        <v>2037</v>
      </c>
      <c r="M65" s="40">
        <f ca="1">Zalozenia!N264*Zalozenia!L189</f>
        <v>5581929.5022489578</v>
      </c>
      <c r="N65" s="41">
        <f ca="1">Zalozenia!O264*Zalozenia!M189</f>
        <v>7201588.0811123271</v>
      </c>
      <c r="O65" s="41">
        <f ca="1">Zalozenia!P264*Zalozenia!N189</f>
        <v>8342837.3686351301</v>
      </c>
      <c r="P65" s="41">
        <f ca="1">Zalozenia!Q264*Zalozenia!O189</f>
        <v>5611431.8319182908</v>
      </c>
      <c r="Q65" s="41">
        <f ca="1">Zalozenia!R264*Zalozenia!P189</f>
        <v>3209242.3841152363</v>
      </c>
      <c r="R65" s="118">
        <f ca="1">Zalozenia!S264*Zalozenia!Q189</f>
        <v>0</v>
      </c>
      <c r="S65" s="37">
        <f t="shared" si="6"/>
        <v>29947029.168029945</v>
      </c>
    </row>
    <row r="66" spans="1:39">
      <c r="A66" s="12"/>
      <c r="B66" s="13">
        <f t="shared" si="4"/>
        <v>2038</v>
      </c>
      <c r="C66" s="40">
        <f ca="1">Zalozenia!C265*Zalozenia!C190</f>
        <v>2582042.2682365752</v>
      </c>
      <c r="D66" s="41">
        <f ca="1">Zalozenia!D265*Zalozenia!D190</f>
        <v>3971875.4634068329</v>
      </c>
      <c r="E66" s="41">
        <f ca="1">Zalozenia!E265*Zalozenia!E190</f>
        <v>4760832.8231457872</v>
      </c>
      <c r="F66" s="41">
        <f ca="1">Zalozenia!F265*Zalozenia!F190</f>
        <v>2595689.2091710628</v>
      </c>
      <c r="G66" s="41">
        <f ca="1">Zalozenia!G265*Zalozenia!G190</f>
        <v>2191411.4100591526</v>
      </c>
      <c r="H66" s="118">
        <f ca="1">Zalozenia!H265*Zalozenia!H190</f>
        <v>0</v>
      </c>
      <c r="I66" s="37">
        <f t="shared" si="5"/>
        <v>16101851.174019411</v>
      </c>
      <c r="J66" s="121"/>
      <c r="K66" s="12"/>
      <c r="L66" s="13">
        <f t="shared" si="3"/>
        <v>2038</v>
      </c>
      <c r="M66" s="40">
        <f ca="1">Zalozenia!N265*Zalozenia!L190</f>
        <v>5593093.3612534553</v>
      </c>
      <c r="N66" s="41">
        <f ca="1">Zalozenia!O265*Zalozenia!M190</f>
        <v>7215991.2572745513</v>
      </c>
      <c r="O66" s="41">
        <f ca="1">Zalozenia!P265*Zalozenia!N190</f>
        <v>8359523.043372401</v>
      </c>
      <c r="P66" s="41">
        <f ca="1">Zalozenia!Q265*Zalozenia!O190</f>
        <v>5622654.6955821281</v>
      </c>
      <c r="Q66" s="41">
        <f ca="1">Zalozenia!R265*Zalozenia!P190</f>
        <v>3215660.8688834668</v>
      </c>
      <c r="R66" s="118">
        <f ca="1">Zalozenia!S265*Zalozenia!Q190</f>
        <v>0</v>
      </c>
      <c r="S66" s="37">
        <f t="shared" si="6"/>
        <v>30006923.226366006</v>
      </c>
    </row>
    <row r="67" spans="1:39">
      <c r="A67" s="12"/>
      <c r="B67" s="13">
        <f t="shared" si="4"/>
        <v>2039</v>
      </c>
      <c r="C67" s="40">
        <f ca="1">Zalozenia!C266*Zalozenia!C191</f>
        <v>2587206.3527730484</v>
      </c>
      <c r="D67" s="41">
        <f ca="1">Zalozenia!D266*Zalozenia!D191</f>
        <v>3979819.2143336465</v>
      </c>
      <c r="E67" s="41">
        <f ca="1">Zalozenia!E266*Zalozenia!E191</f>
        <v>4770354.4887920795</v>
      </c>
      <c r="F67" s="41">
        <f ca="1">Zalozenia!F266*Zalozenia!F191</f>
        <v>2600880.5875894045</v>
      </c>
      <c r="G67" s="41">
        <f ca="1">Zalozenia!G266*Zalozenia!G191</f>
        <v>2195794.2328792713</v>
      </c>
      <c r="H67" s="118">
        <f ca="1">Zalozenia!H266*Zalozenia!H191</f>
        <v>0</v>
      </c>
      <c r="I67" s="37">
        <f t="shared" si="5"/>
        <v>16134054.876367452</v>
      </c>
      <c r="J67" s="121"/>
      <c r="K67" s="12"/>
      <c r="L67" s="13">
        <f t="shared" si="3"/>
        <v>2039</v>
      </c>
      <c r="M67" s="40">
        <f ca="1">Zalozenia!N266*Zalozenia!L191</f>
        <v>5604279.5479759621</v>
      </c>
      <c r="N67" s="41">
        <f ca="1">Zalozenia!O266*Zalozenia!M191</f>
        <v>7230423.2397891004</v>
      </c>
      <c r="O67" s="41">
        <f ca="1">Zalozenia!P266*Zalozenia!N191</f>
        <v>8376242.0894591464</v>
      </c>
      <c r="P67" s="41">
        <f ca="1">Zalozenia!Q266*Zalozenia!O191</f>
        <v>5633900.0049732924</v>
      </c>
      <c r="Q67" s="41">
        <f ca="1">Zalozenia!R266*Zalozenia!P191</f>
        <v>3222092.190621234</v>
      </c>
      <c r="R67" s="118">
        <f ca="1">Zalozenia!S266*Zalozenia!Q191</f>
        <v>0</v>
      </c>
      <c r="S67" s="37">
        <f t="shared" si="6"/>
        <v>30066937.072818737</v>
      </c>
    </row>
    <row r="68" spans="1:39">
      <c r="A68" s="12"/>
      <c r="B68" s="13">
        <f t="shared" si="4"/>
        <v>2040</v>
      </c>
      <c r="C68" s="40">
        <f ca="1">Zalozenia!C267*Zalozenia!C192</f>
        <v>2592380.7654785942</v>
      </c>
      <c r="D68" s="41">
        <f ca="1">Zalozenia!D267*Zalozenia!D192</f>
        <v>3987778.852762314</v>
      </c>
      <c r="E68" s="41">
        <f ca="1">Zalozenia!E267*Zalozenia!E192</f>
        <v>4779895.1977696633</v>
      </c>
      <c r="F68" s="41">
        <f ca="1">Zalozenia!F267*Zalozenia!F192</f>
        <v>2606082.3487645835</v>
      </c>
      <c r="G68" s="41">
        <f ca="1">Zalozenia!G267*Zalozenia!G192</f>
        <v>2200185.8213450299</v>
      </c>
      <c r="H68" s="118">
        <f ca="1">Zalozenia!H267*Zalozenia!H192</f>
        <v>0</v>
      </c>
      <c r="I68" s="37">
        <f t="shared" si="5"/>
        <v>16166322.986120185</v>
      </c>
      <c r="J68" s="121"/>
      <c r="K68" s="12"/>
      <c r="L68" s="13">
        <f t="shared" si="3"/>
        <v>2040</v>
      </c>
      <c r="M68" s="40">
        <f ca="1">Zalozenia!N267*Zalozenia!L192</f>
        <v>5615488.1070719138</v>
      </c>
      <c r="N68" s="41">
        <f ca="1">Zalozenia!O267*Zalozenia!M192</f>
        <v>7244884.0862686783</v>
      </c>
      <c r="O68" s="41">
        <f ca="1">Zalozenia!P267*Zalozenia!N192</f>
        <v>8392994.5736380648</v>
      </c>
      <c r="P68" s="41">
        <f ca="1">Zalozenia!Q267*Zalozenia!O192</f>
        <v>5645167.8049832387</v>
      </c>
      <c r="Q68" s="41">
        <f ca="1">Zalozenia!R267*Zalozenia!P192</f>
        <v>3228536.3750024764</v>
      </c>
      <c r="R68" s="118">
        <f ca="1">Zalozenia!S267*Zalozenia!Q192</f>
        <v>294479.04005735001</v>
      </c>
      <c r="S68" s="37">
        <f t="shared" si="6"/>
        <v>30421549.987021726</v>
      </c>
    </row>
    <row r="69" spans="1:39">
      <c r="A69" s="12"/>
      <c r="B69" s="13">
        <f t="shared" si="4"/>
        <v>2041</v>
      </c>
      <c r="C69" s="40">
        <f ca="1">Zalozenia!C268*Zalozenia!C193</f>
        <v>2597565.5270095519</v>
      </c>
      <c r="D69" s="41">
        <f ca="1">Zalozenia!D268*Zalozenia!D193</f>
        <v>3995754.4104678389</v>
      </c>
      <c r="E69" s="41">
        <f ca="1">Zalozenia!E268*Zalozenia!E193</f>
        <v>4789454.9881652035</v>
      </c>
      <c r="F69" s="41">
        <f ca="1">Zalozenia!F268*Zalozenia!F193</f>
        <v>2611294.5134621128</v>
      </c>
      <c r="G69" s="41">
        <f ca="1">Zalozenia!G268*Zalozenia!G193</f>
        <v>2204586.19298772</v>
      </c>
      <c r="H69" s="118">
        <f ca="1">Zalozenia!H268*Zalozenia!H193</f>
        <v>0</v>
      </c>
      <c r="I69" s="37">
        <f t="shared" si="5"/>
        <v>16198655.632092427</v>
      </c>
      <c r="J69" s="121"/>
      <c r="K69" s="12"/>
      <c r="L69" s="13">
        <f t="shared" si="3"/>
        <v>2041</v>
      </c>
      <c r="M69" s="40">
        <f ca="1">Zalozenia!N268*Zalozenia!L193</f>
        <v>5626719.0832860582</v>
      </c>
      <c r="N69" s="41">
        <f ca="1">Zalozenia!O268*Zalozenia!M193</f>
        <v>7259373.8544412162</v>
      </c>
      <c r="O69" s="41">
        <f ca="1">Zalozenia!P268*Zalozenia!N193</f>
        <v>8409780.5627853405</v>
      </c>
      <c r="P69" s="41">
        <f ca="1">Zalozenia!Q268*Zalozenia!O193</f>
        <v>5656458.1405932056</v>
      </c>
      <c r="Q69" s="41">
        <f ca="1">Zalozenia!R268*Zalozenia!P193</f>
        <v>3234993.4477524809</v>
      </c>
      <c r="R69" s="118">
        <f ca="1">Zalozenia!S268*Zalozenia!Q193</f>
        <v>295067.99813746469</v>
      </c>
      <c r="S69" s="37">
        <f t="shared" si="6"/>
        <v>30482393.086995762</v>
      </c>
    </row>
    <row r="70" spans="1:39">
      <c r="A70" s="12"/>
      <c r="B70" s="13">
        <f t="shared" si="4"/>
        <v>2042</v>
      </c>
      <c r="C70" s="40">
        <f ca="1">Zalozenia!C269*Zalozenia!C194</f>
        <v>2602760.6580635705</v>
      </c>
      <c r="D70" s="41">
        <f ca="1">Zalozenia!D269*Zalozenia!D194</f>
        <v>4003745.919288775</v>
      </c>
      <c r="E70" s="41">
        <f ca="1">Zalozenia!E269*Zalozenia!E194</f>
        <v>4799033.8981415341</v>
      </c>
      <c r="F70" s="41">
        <f ca="1">Zalozenia!F269*Zalozenia!F194</f>
        <v>2616517.102489037</v>
      </c>
      <c r="G70" s="41">
        <f ca="1">Zalozenia!G269*Zalozenia!G194</f>
        <v>2208995.3653736953</v>
      </c>
      <c r="H70" s="118">
        <f ca="1">Zalozenia!H269*Zalozenia!H194</f>
        <v>0</v>
      </c>
      <c r="I70" s="37">
        <f t="shared" si="5"/>
        <v>16231052.943356611</v>
      </c>
      <c r="J70" s="121"/>
      <c r="K70" s="12"/>
      <c r="L70" s="13">
        <f t="shared" si="3"/>
        <v>2042</v>
      </c>
      <c r="M70" s="40">
        <f ca="1">Zalozenia!N269*Zalozenia!L194</f>
        <v>5637972.5214526309</v>
      </c>
      <c r="N70" s="41">
        <f ca="1">Zalozenia!O269*Zalozenia!M194</f>
        <v>7273892.6021500994</v>
      </c>
      <c r="O70" s="41">
        <f ca="1">Zalozenia!P269*Zalozenia!N194</f>
        <v>8426600.1239109095</v>
      </c>
      <c r="P70" s="41">
        <f ca="1">Zalozenia!Q269*Zalozenia!O194</f>
        <v>5667771.0568743916</v>
      </c>
      <c r="Q70" s="41">
        <f ca="1">Zalozenia!R269*Zalozenia!P194</f>
        <v>3241463.4346479862</v>
      </c>
      <c r="R70" s="118">
        <f ca="1">Zalozenia!S269*Zalozenia!Q194</f>
        <v>295658.13413373963</v>
      </c>
      <c r="S70" s="37">
        <f t="shared" si="6"/>
        <v>30543357.873169754</v>
      </c>
    </row>
    <row r="71" spans="1:39">
      <c r="A71" s="12"/>
      <c r="B71" s="13">
        <f t="shared" si="4"/>
        <v>2043</v>
      </c>
      <c r="C71" s="40">
        <f ca="1">Zalozenia!C270*Zalozenia!C195</f>
        <v>2607966.1793796974</v>
      </c>
      <c r="D71" s="41">
        <f ca="1">Zalozenia!D270*Zalozenia!D195</f>
        <v>4011753.4111273522</v>
      </c>
      <c r="E71" s="41">
        <f ca="1">Zalozenia!E270*Zalozenia!E195</f>
        <v>4808631.9659378175</v>
      </c>
      <c r="F71" s="41">
        <f ca="1">Zalozenia!F270*Zalozenia!F195</f>
        <v>2621750.136694015</v>
      </c>
      <c r="G71" s="41">
        <f ca="1">Zalozenia!G270*Zalozenia!G195</f>
        <v>2213413.3561044428</v>
      </c>
      <c r="H71" s="118">
        <f ca="1">Zalozenia!H270*Zalozenia!H195</f>
        <v>0</v>
      </c>
      <c r="I71" s="37">
        <f t="shared" si="5"/>
        <v>16263515.049243325</v>
      </c>
      <c r="J71" s="121"/>
      <c r="K71" s="12"/>
      <c r="L71" s="13">
        <f t="shared" si="3"/>
        <v>2043</v>
      </c>
      <c r="M71" s="40">
        <f ca="1">Zalozenia!N270*Zalozenia!L195</f>
        <v>5649248.4664955353</v>
      </c>
      <c r="N71" s="41">
        <f ca="1">Zalozenia!O270*Zalozenia!M195</f>
        <v>7288440.3873543991</v>
      </c>
      <c r="O71" s="41">
        <f ca="1">Zalozenia!P270*Zalozenia!N195</f>
        <v>8443453.3241587318</v>
      </c>
      <c r="P71" s="41">
        <f ca="1">Zalozenia!Q270*Zalozenia!O195</f>
        <v>5679106.5989881409</v>
      </c>
      <c r="Q71" s="41">
        <f ca="1">Zalozenia!R270*Zalozenia!P195</f>
        <v>3247946.3615172822</v>
      </c>
      <c r="R71" s="118">
        <f ca="1">Zalozenia!S270*Zalozenia!Q195</f>
        <v>296249.45040200709</v>
      </c>
      <c r="S71" s="37">
        <f t="shared" si="6"/>
        <v>30604444.588916101</v>
      </c>
    </row>
    <row r="72" spans="1:39">
      <c r="A72" s="43"/>
      <c r="B72" s="13">
        <f t="shared" si="4"/>
        <v>2044</v>
      </c>
      <c r="C72" s="44">
        <f ca="1">Zalozenia!C271*Zalozenia!C196</f>
        <v>2613182.1117384569</v>
      </c>
      <c r="D72" s="45">
        <f ca="1">Zalozenia!D271*Zalozenia!D196</f>
        <v>4019776.9179496067</v>
      </c>
      <c r="E72" s="45">
        <f ca="1">Zalozenia!E271*Zalozenia!E196</f>
        <v>4818249.2298696926</v>
      </c>
      <c r="F72" s="45">
        <f ca="1">Zalozenia!F271*Zalozenia!F196</f>
        <v>2626993.6369674029</v>
      </c>
      <c r="G72" s="45">
        <f ca="1">Zalozenia!G271*Zalozenia!G196</f>
        <v>2217840.1828166516</v>
      </c>
      <c r="H72" s="119">
        <f ca="1">Zalozenia!H271*Zalozenia!H196</f>
        <v>0</v>
      </c>
      <c r="I72" s="37">
        <f t="shared" si="5"/>
        <v>16296042.07934181</v>
      </c>
      <c r="J72" s="121"/>
      <c r="K72" s="43"/>
      <c r="L72" s="13">
        <f t="shared" si="3"/>
        <v>2044</v>
      </c>
      <c r="M72" s="44">
        <f ca="1">Zalozenia!N271*Zalozenia!L196</f>
        <v>5660546.9634285262</v>
      </c>
      <c r="N72" s="45">
        <f ca="1">Zalozenia!O271*Zalozenia!M196</f>
        <v>7303017.2681291085</v>
      </c>
      <c r="O72" s="45">
        <f ca="1">Zalozenia!P271*Zalozenia!N196</f>
        <v>8460340.2308070492</v>
      </c>
      <c r="P72" s="45">
        <f ca="1">Zalozenia!Q271*Zalozenia!O196</f>
        <v>5690464.8121861164</v>
      </c>
      <c r="Q72" s="45">
        <f ca="1">Zalozenia!R271*Zalozenia!P196</f>
        <v>3254442.2542403168</v>
      </c>
      <c r="R72" s="119">
        <f ca="1">Zalozenia!S271*Zalozenia!Q196</f>
        <v>296841.94930281112</v>
      </c>
      <c r="S72" s="37">
        <f t="shared" si="6"/>
        <v>30665653.478093922</v>
      </c>
    </row>
    <row r="74" spans="1:39">
      <c r="A74" s="175" t="s">
        <v>36</v>
      </c>
      <c r="B74" s="176"/>
      <c r="C74" s="176"/>
      <c r="D74" s="176"/>
      <c r="E74" s="176"/>
      <c r="F74" s="176"/>
      <c r="G74" s="176"/>
      <c r="H74" s="176"/>
      <c r="I74" s="177"/>
      <c r="K74" s="175" t="s">
        <v>37</v>
      </c>
      <c r="L74" s="176"/>
      <c r="M74" s="176"/>
      <c r="N74" s="176"/>
      <c r="O74" s="176"/>
      <c r="P74" s="176"/>
      <c r="Q74" s="176"/>
      <c r="R74" s="176"/>
      <c r="S74" s="177"/>
      <c r="U74" s="175" t="s">
        <v>37</v>
      </c>
      <c r="V74" s="176"/>
      <c r="W74" s="176"/>
      <c r="X74" s="176"/>
      <c r="Y74" s="176"/>
      <c r="Z74" s="176"/>
      <c r="AA74" s="176"/>
      <c r="AB74" s="176"/>
      <c r="AC74" s="177"/>
      <c r="AE74" s="175" t="s">
        <v>307</v>
      </c>
      <c r="AF74" s="176"/>
      <c r="AG74" s="176"/>
      <c r="AH74" s="176"/>
      <c r="AI74" s="176"/>
      <c r="AJ74" s="176"/>
      <c r="AK74" s="176"/>
      <c r="AL74" s="176"/>
      <c r="AM74" s="177"/>
    </row>
    <row r="75" spans="1:39">
      <c r="A75" s="134" t="s">
        <v>5</v>
      </c>
      <c r="B75" s="134"/>
      <c r="C75" s="6">
        <v>1</v>
      </c>
      <c r="D75" s="6">
        <v>2</v>
      </c>
      <c r="E75" s="6">
        <v>3</v>
      </c>
      <c r="F75" s="6">
        <v>4</v>
      </c>
      <c r="G75" s="6">
        <v>5</v>
      </c>
      <c r="H75" s="6">
        <v>6</v>
      </c>
      <c r="I75" s="6">
        <v>7</v>
      </c>
      <c r="J75" s="4"/>
      <c r="K75" s="134" t="s">
        <v>5</v>
      </c>
      <c r="L75" s="134"/>
      <c r="M75" s="6">
        <v>1</v>
      </c>
      <c r="N75" s="6">
        <v>2</v>
      </c>
      <c r="O75" s="6">
        <v>3</v>
      </c>
      <c r="P75" s="6"/>
      <c r="Q75" s="6"/>
      <c r="R75" s="6"/>
      <c r="S75" s="6"/>
      <c r="U75" s="134" t="s">
        <v>5</v>
      </c>
      <c r="V75" s="134"/>
      <c r="W75" s="6">
        <v>1</v>
      </c>
      <c r="X75" s="6">
        <v>2</v>
      </c>
      <c r="Y75" s="6">
        <v>3</v>
      </c>
      <c r="Z75" s="6"/>
      <c r="AA75" s="6"/>
      <c r="AB75" s="6"/>
      <c r="AC75" s="6"/>
      <c r="AE75" s="134" t="s">
        <v>5</v>
      </c>
      <c r="AF75" s="134"/>
      <c r="AG75" s="6">
        <v>1</v>
      </c>
      <c r="AH75" s="6">
        <v>2</v>
      </c>
      <c r="AI75" s="6">
        <v>3</v>
      </c>
      <c r="AJ75" s="6"/>
      <c r="AK75" s="6"/>
      <c r="AL75" s="6"/>
      <c r="AM75" s="6"/>
    </row>
    <row r="76" spans="1:39" ht="42">
      <c r="A76" s="134" t="s">
        <v>6</v>
      </c>
      <c r="B76" s="134"/>
      <c r="C76" s="35" t="s">
        <v>296</v>
      </c>
      <c r="D76" s="35" t="s">
        <v>297</v>
      </c>
      <c r="E76" s="35" t="s">
        <v>298</v>
      </c>
      <c r="F76" s="35" t="s">
        <v>299</v>
      </c>
      <c r="G76" s="35" t="s">
        <v>300</v>
      </c>
      <c r="H76" s="35" t="s">
        <v>330</v>
      </c>
      <c r="I76" s="35" t="s">
        <v>237</v>
      </c>
      <c r="J76" s="4"/>
      <c r="K76" s="134" t="s">
        <v>6</v>
      </c>
      <c r="L76" s="134"/>
      <c r="M76" s="35" t="s">
        <v>296</v>
      </c>
      <c r="N76" s="35" t="s">
        <v>297</v>
      </c>
      <c r="O76" s="35" t="s">
        <v>298</v>
      </c>
      <c r="P76" s="35" t="s">
        <v>299</v>
      </c>
      <c r="Q76" s="35" t="s">
        <v>300</v>
      </c>
      <c r="R76" s="35" t="s">
        <v>330</v>
      </c>
      <c r="S76" s="35" t="s">
        <v>237</v>
      </c>
      <c r="U76" s="134" t="s">
        <v>6</v>
      </c>
      <c r="V76" s="134"/>
      <c r="W76" s="35" t="s">
        <v>296</v>
      </c>
      <c r="X76" s="35" t="s">
        <v>297</v>
      </c>
      <c r="Y76" s="35" t="s">
        <v>298</v>
      </c>
      <c r="Z76" s="35" t="s">
        <v>299</v>
      </c>
      <c r="AA76" s="35" t="s">
        <v>300</v>
      </c>
      <c r="AB76" s="35" t="s">
        <v>330</v>
      </c>
      <c r="AC76" s="35" t="s">
        <v>237</v>
      </c>
      <c r="AE76" s="134" t="s">
        <v>6</v>
      </c>
      <c r="AF76" s="134"/>
      <c r="AG76" s="35" t="s">
        <v>296</v>
      </c>
      <c r="AH76" s="35" t="s">
        <v>297</v>
      </c>
      <c r="AI76" s="35" t="s">
        <v>298</v>
      </c>
      <c r="AJ76" s="35" t="s">
        <v>299</v>
      </c>
      <c r="AK76" s="35" t="s">
        <v>300</v>
      </c>
      <c r="AL76" s="35" t="s">
        <v>330</v>
      </c>
      <c r="AM76" s="35" t="s">
        <v>237</v>
      </c>
    </row>
    <row r="77" spans="1:39" ht="21">
      <c r="A77" s="8"/>
      <c r="B77" s="9" t="s">
        <v>22</v>
      </c>
      <c r="C77" s="36" t="s">
        <v>28</v>
      </c>
      <c r="D77" s="36" t="s">
        <v>28</v>
      </c>
      <c r="E77" s="36" t="s">
        <v>28</v>
      </c>
      <c r="F77" s="36" t="s">
        <v>28</v>
      </c>
      <c r="G77" s="36" t="s">
        <v>28</v>
      </c>
      <c r="H77" s="36" t="s">
        <v>28</v>
      </c>
      <c r="I77" s="36" t="s">
        <v>28</v>
      </c>
      <c r="J77" s="4"/>
      <c r="K77" s="8"/>
      <c r="L77" s="9" t="s">
        <v>22</v>
      </c>
      <c r="M77" s="36" t="s">
        <v>28</v>
      </c>
      <c r="N77" s="36" t="s">
        <v>28</v>
      </c>
      <c r="O77" s="36" t="s">
        <v>28</v>
      </c>
      <c r="P77" s="36" t="s">
        <v>28</v>
      </c>
      <c r="Q77" s="36" t="s">
        <v>28</v>
      </c>
      <c r="R77" s="36" t="s">
        <v>28</v>
      </c>
      <c r="S77" s="36" t="s">
        <v>28</v>
      </c>
      <c r="U77" s="8"/>
      <c r="V77" s="9" t="s">
        <v>22</v>
      </c>
      <c r="W77" s="36" t="s">
        <v>24</v>
      </c>
      <c r="X77" s="36" t="s">
        <v>24</v>
      </c>
      <c r="Y77" s="36" t="s">
        <v>24</v>
      </c>
      <c r="Z77" s="36" t="s">
        <v>24</v>
      </c>
      <c r="AA77" s="36" t="s">
        <v>24</v>
      </c>
      <c r="AB77" s="36" t="s">
        <v>24</v>
      </c>
      <c r="AC77" s="36" t="s">
        <v>24</v>
      </c>
      <c r="AE77" s="8"/>
      <c r="AF77" s="9" t="s">
        <v>22</v>
      </c>
      <c r="AG77" s="36" t="s">
        <v>28</v>
      </c>
      <c r="AH77" s="36" t="s">
        <v>28</v>
      </c>
      <c r="AI77" s="36" t="s">
        <v>28</v>
      </c>
      <c r="AJ77" s="36" t="s">
        <v>28</v>
      </c>
      <c r="AK77" s="36" t="s">
        <v>28</v>
      </c>
      <c r="AL77" s="36" t="s">
        <v>28</v>
      </c>
      <c r="AM77" s="36" t="s">
        <v>28</v>
      </c>
    </row>
    <row r="78" spans="1:39">
      <c r="A78" s="12"/>
      <c r="B78" s="13">
        <f>B43</f>
        <v>2015</v>
      </c>
      <c r="C78" s="37">
        <f t="shared" ref="C78:H78" si="7">C8+C43</f>
        <v>14950140.378618363</v>
      </c>
      <c r="D78" s="37">
        <f t="shared" si="7"/>
        <v>19698607.412838258</v>
      </c>
      <c r="E78" s="37">
        <f t="shared" si="7"/>
        <v>19780006.220975723</v>
      </c>
      <c r="F78" s="37">
        <f t="shared" si="7"/>
        <v>11929977.622121282</v>
      </c>
      <c r="G78" s="37">
        <f t="shared" si="7"/>
        <v>15116748.113411035</v>
      </c>
      <c r="H78" s="37">
        <f t="shared" si="7"/>
        <v>0</v>
      </c>
      <c r="I78" s="37">
        <f>SUM(C78:H78)</f>
        <v>81475479.747964665</v>
      </c>
      <c r="J78" s="4"/>
      <c r="K78" s="12"/>
      <c r="L78" s="13">
        <f t="shared" ref="L78:L107" si="8">B78</f>
        <v>2015</v>
      </c>
      <c r="M78" s="37">
        <f t="shared" ref="M78:Q87" si="9">M8+M43</f>
        <v>22425210.567927543</v>
      </c>
      <c r="N78" s="37">
        <f t="shared" si="9"/>
        <v>36583128.052413903</v>
      </c>
      <c r="O78" s="37">
        <f t="shared" si="9"/>
        <v>29199056.802392736</v>
      </c>
      <c r="P78" s="37">
        <f t="shared" si="9"/>
        <v>17894966.433181927</v>
      </c>
      <c r="Q78" s="37">
        <f t="shared" si="9"/>
        <v>22675122.170116555</v>
      </c>
      <c r="R78" s="37">
        <f t="shared" ref="R78:R87" si="10">R8+R43</f>
        <v>0</v>
      </c>
      <c r="S78" s="37">
        <f>SUM(M78:R78)</f>
        <v>128777484.02603267</v>
      </c>
      <c r="U78" s="12"/>
      <c r="V78" s="13">
        <f t="shared" ref="V78:V107" si="11">L78</f>
        <v>2015</v>
      </c>
      <c r="W78" s="116">
        <f t="shared" ref="W78:AC78" si="12">M78/$S78</f>
        <v>0.17413921958122924</v>
      </c>
      <c r="X78" s="116">
        <f t="shared" si="12"/>
        <v>0.28408015833745082</v>
      </c>
      <c r="Y78" s="116">
        <f t="shared" si="12"/>
        <v>0.22674038884382985</v>
      </c>
      <c r="Z78" s="116">
        <f t="shared" si="12"/>
        <v>0.13896036693467639</v>
      </c>
      <c r="AA78" s="116">
        <f t="shared" si="12"/>
        <v>0.17607986630281366</v>
      </c>
      <c r="AB78" s="116">
        <f t="shared" si="12"/>
        <v>0</v>
      </c>
      <c r="AC78" s="116">
        <f t="shared" si="12"/>
        <v>1</v>
      </c>
      <c r="AE78" s="12"/>
      <c r="AF78" s="13">
        <f t="shared" ref="AF78:AF107" si="13">V78</f>
        <v>2015</v>
      </c>
      <c r="AG78" s="37">
        <f t="shared" ref="AG78:AM78" si="14">M78-C78</f>
        <v>7475070.1893091798</v>
      </c>
      <c r="AH78" s="37">
        <f t="shared" si="14"/>
        <v>16884520.639575645</v>
      </c>
      <c r="AI78" s="37">
        <f t="shared" si="14"/>
        <v>9419050.581417013</v>
      </c>
      <c r="AJ78" s="37">
        <f t="shared" si="14"/>
        <v>5964988.8110606447</v>
      </c>
      <c r="AK78" s="37">
        <f t="shared" si="14"/>
        <v>7558374.0567055196</v>
      </c>
      <c r="AL78" s="37">
        <f t="shared" si="14"/>
        <v>0</v>
      </c>
      <c r="AM78" s="37">
        <f t="shared" si="14"/>
        <v>47302004.278068006</v>
      </c>
    </row>
    <row r="79" spans="1:39">
      <c r="A79" s="12"/>
      <c r="B79" s="13">
        <f t="shared" ref="B79:B107" si="15">B44</f>
        <v>2016</v>
      </c>
      <c r="C79" s="40">
        <f t="shared" ref="C79:H79" si="16">C9+C44</f>
        <v>15542947.302567501</v>
      </c>
      <c r="D79" s="41">
        <f t="shared" si="16"/>
        <v>20455166.732528809</v>
      </c>
      <c r="E79" s="41">
        <f t="shared" si="16"/>
        <v>20505547.377201468</v>
      </c>
      <c r="F79" s="41">
        <f t="shared" si="16"/>
        <v>12379977.378806971</v>
      </c>
      <c r="G79" s="41">
        <f t="shared" si="16"/>
        <v>15734223.04333156</v>
      </c>
      <c r="H79" s="37">
        <f t="shared" si="16"/>
        <v>0</v>
      </c>
      <c r="I79" s="37">
        <f t="shared" ref="I79:I107" si="17">SUM(C79:H79)</f>
        <v>84617861.834436312</v>
      </c>
      <c r="J79" s="4"/>
      <c r="K79" s="12"/>
      <c r="L79" s="13">
        <f t="shared" si="8"/>
        <v>2016</v>
      </c>
      <c r="M79" s="40">
        <f t="shared" si="9"/>
        <v>23314420.953851253</v>
      </c>
      <c r="N79" s="41">
        <f t="shared" si="9"/>
        <v>37988166.788982078</v>
      </c>
      <c r="O79" s="41">
        <f t="shared" si="9"/>
        <v>30270093.747297406</v>
      </c>
      <c r="P79" s="41">
        <f t="shared" si="9"/>
        <v>18569966.06821046</v>
      </c>
      <c r="Q79" s="41">
        <f t="shared" si="9"/>
        <v>23601334.564997341</v>
      </c>
      <c r="R79" s="37">
        <f t="shared" si="10"/>
        <v>0</v>
      </c>
      <c r="S79" s="37">
        <f t="shared" ref="S79:S107" si="18">SUM(M79:R79)</f>
        <v>133743982.12333855</v>
      </c>
      <c r="U79" s="12"/>
      <c r="V79" s="13">
        <f t="shared" si="11"/>
        <v>2016</v>
      </c>
      <c r="W79" s="116">
        <f t="shared" ref="W79:W107" si="19">M79/$S79</f>
        <v>0.17432127101128722</v>
      </c>
      <c r="X79" s="116">
        <f t="shared" ref="X79:X107" si="20">N79/$S79</f>
        <v>0.28403645671286676</v>
      </c>
      <c r="Y79" s="116">
        <f t="shared" ref="Y79:Y107" si="21">O79/$S79</f>
        <v>0.22632864123473129</v>
      </c>
      <c r="Z79" s="116">
        <f t="shared" ref="Z79:Z107" si="22">P79/$S79</f>
        <v>0.13884711501325914</v>
      </c>
      <c r="AA79" s="116">
        <f t="shared" ref="AA79:AA107" si="23">Q79/$S79</f>
        <v>0.17646651602785549</v>
      </c>
      <c r="AB79" s="116">
        <f t="shared" ref="AB79:AB107" si="24">R79/$S79</f>
        <v>0</v>
      </c>
      <c r="AC79" s="116">
        <f t="shared" ref="AC79:AC107" si="25">S79/$S79</f>
        <v>1</v>
      </c>
      <c r="AE79" s="12"/>
      <c r="AF79" s="13">
        <f t="shared" si="13"/>
        <v>2016</v>
      </c>
      <c r="AG79" s="37">
        <f t="shared" ref="AG79:AG107" si="26">M79-C79</f>
        <v>7771473.6512837522</v>
      </c>
      <c r="AH79" s="37">
        <f t="shared" ref="AH79:AH107" si="27">N79-D79</f>
        <v>17533000.056453269</v>
      </c>
      <c r="AI79" s="37">
        <f t="shared" ref="AI79:AI107" si="28">O79-E79</f>
        <v>9764546.3700959384</v>
      </c>
      <c r="AJ79" s="37">
        <f t="shared" ref="AJ79:AJ107" si="29">P79-F79</f>
        <v>6189988.6894034892</v>
      </c>
      <c r="AK79" s="37">
        <f t="shared" ref="AK79:AK107" si="30">Q79-G79</f>
        <v>7867111.5216657817</v>
      </c>
      <c r="AL79" s="37">
        <f t="shared" ref="AL79:AL107" si="31">R79-H79</f>
        <v>0</v>
      </c>
      <c r="AM79" s="37">
        <f t="shared" ref="AM79:AM107" si="32">S79-I79</f>
        <v>49126120.288902238</v>
      </c>
    </row>
    <row r="80" spans="1:39">
      <c r="A80" s="12"/>
      <c r="B80" s="13">
        <f t="shared" si="15"/>
        <v>2017</v>
      </c>
      <c r="C80" s="40">
        <f t="shared" ref="C80:H80" si="33">C10+C45</f>
        <v>16163447.114192445</v>
      </c>
      <c r="D80" s="41">
        <f t="shared" si="33"/>
        <v>21247010.334376827</v>
      </c>
      <c r="E80" s="41">
        <f t="shared" si="33"/>
        <v>21264842.467800446</v>
      </c>
      <c r="F80" s="41">
        <f t="shared" si="33"/>
        <v>12850944.058255911</v>
      </c>
      <c r="G80" s="41">
        <f t="shared" si="33"/>
        <v>16380586.122224562</v>
      </c>
      <c r="H80" s="37">
        <f t="shared" si="33"/>
        <v>0</v>
      </c>
      <c r="I80" s="37">
        <f t="shared" si="17"/>
        <v>87906830.096850187</v>
      </c>
      <c r="J80" s="4"/>
      <c r="K80" s="12"/>
      <c r="L80" s="13">
        <f t="shared" si="8"/>
        <v>2017</v>
      </c>
      <c r="M80" s="40">
        <f t="shared" si="9"/>
        <v>24245170.671288669</v>
      </c>
      <c r="N80" s="41">
        <f t="shared" si="9"/>
        <v>39458733.478128403</v>
      </c>
      <c r="O80" s="41">
        <f t="shared" si="9"/>
        <v>31390957.9286578</v>
      </c>
      <c r="P80" s="41">
        <f t="shared" si="9"/>
        <v>19276416.087383866</v>
      </c>
      <c r="Q80" s="41">
        <f t="shared" si="9"/>
        <v>24570879.183336847</v>
      </c>
      <c r="R80" s="37">
        <f t="shared" si="10"/>
        <v>0</v>
      </c>
      <c r="S80" s="37">
        <f t="shared" si="18"/>
        <v>138942157.34879559</v>
      </c>
      <c r="U80" s="12"/>
      <c r="V80" s="13">
        <f t="shared" si="11"/>
        <v>2017</v>
      </c>
      <c r="W80" s="116">
        <f t="shared" si="19"/>
        <v>0.17449830299111038</v>
      </c>
      <c r="X80" s="116">
        <f t="shared" si="20"/>
        <v>0.28399396001224136</v>
      </c>
      <c r="Y80" s="116">
        <f t="shared" si="21"/>
        <v>0.22592824616833193</v>
      </c>
      <c r="Z80" s="116">
        <f t="shared" si="22"/>
        <v>0.13873698562915657</v>
      </c>
      <c r="AA80" s="116">
        <f t="shared" si="23"/>
        <v>0.17684250519915967</v>
      </c>
      <c r="AB80" s="116">
        <f t="shared" si="24"/>
        <v>0</v>
      </c>
      <c r="AC80" s="116">
        <f t="shared" si="25"/>
        <v>1</v>
      </c>
      <c r="AE80" s="12"/>
      <c r="AF80" s="13">
        <f t="shared" si="13"/>
        <v>2017</v>
      </c>
      <c r="AG80" s="37">
        <f t="shared" si="26"/>
        <v>8081723.5570962243</v>
      </c>
      <c r="AH80" s="37">
        <f t="shared" si="27"/>
        <v>18211723.143751577</v>
      </c>
      <c r="AI80" s="37">
        <f t="shared" si="28"/>
        <v>10126115.460857354</v>
      </c>
      <c r="AJ80" s="37">
        <f t="shared" si="29"/>
        <v>6425472.0291279554</v>
      </c>
      <c r="AK80" s="37">
        <f t="shared" si="30"/>
        <v>8190293.0611122847</v>
      </c>
      <c r="AL80" s="37">
        <f t="shared" si="31"/>
        <v>0</v>
      </c>
      <c r="AM80" s="37">
        <f t="shared" si="32"/>
        <v>51035327.251945406</v>
      </c>
    </row>
    <row r="81" spans="1:39">
      <c r="A81" s="12"/>
      <c r="B81" s="13">
        <f t="shared" si="15"/>
        <v>2018</v>
      </c>
      <c r="C81" s="40">
        <f t="shared" ref="C81:H81" si="34">C11+C46</f>
        <v>16812943.426793102</v>
      </c>
      <c r="D81" s="41">
        <f t="shared" si="34"/>
        <v>22075799.0710367</v>
      </c>
      <c r="E81" s="41">
        <f t="shared" si="34"/>
        <v>22059480.141944941</v>
      </c>
      <c r="F81" s="41">
        <f t="shared" si="34"/>
        <v>13343864.545729464</v>
      </c>
      <c r="G81" s="41">
        <f t="shared" si="34"/>
        <v>17057197.315534204</v>
      </c>
      <c r="H81" s="37">
        <f t="shared" si="34"/>
        <v>0</v>
      </c>
      <c r="I81" s="37">
        <f t="shared" si="17"/>
        <v>91349284.501038402</v>
      </c>
      <c r="J81" s="4"/>
      <c r="K81" s="12"/>
      <c r="L81" s="13">
        <f t="shared" si="8"/>
        <v>2018</v>
      </c>
      <c r="M81" s="40">
        <f t="shared" si="9"/>
        <v>25219415.140189651</v>
      </c>
      <c r="N81" s="41">
        <f t="shared" si="9"/>
        <v>40997912.560496733</v>
      </c>
      <c r="O81" s="41">
        <f t="shared" si="9"/>
        <v>32563994.495252054</v>
      </c>
      <c r="P81" s="41">
        <f t="shared" si="9"/>
        <v>20015796.818594195</v>
      </c>
      <c r="Q81" s="41">
        <f t="shared" si="9"/>
        <v>25585795.973301303</v>
      </c>
      <c r="R81" s="37">
        <f t="shared" si="10"/>
        <v>0</v>
      </c>
      <c r="S81" s="37">
        <f t="shared" si="18"/>
        <v>144382914.98783392</v>
      </c>
      <c r="U81" s="12"/>
      <c r="V81" s="13">
        <f t="shared" si="11"/>
        <v>2018</v>
      </c>
      <c r="W81" s="116">
        <f t="shared" si="19"/>
        <v>0.17467035585418611</v>
      </c>
      <c r="X81" s="116">
        <f t="shared" si="20"/>
        <v>0.2839526585534814</v>
      </c>
      <c r="Y81" s="116">
        <f t="shared" si="21"/>
        <v>0.22553911242196475</v>
      </c>
      <c r="Z81" s="116">
        <f t="shared" si="22"/>
        <v>0.13862995369140996</v>
      </c>
      <c r="AA81" s="116">
        <f t="shared" si="23"/>
        <v>0.17720791947895795</v>
      </c>
      <c r="AB81" s="116">
        <f t="shared" si="24"/>
        <v>0</v>
      </c>
      <c r="AC81" s="116">
        <f t="shared" si="25"/>
        <v>1</v>
      </c>
      <c r="AE81" s="12"/>
      <c r="AF81" s="13">
        <f t="shared" si="13"/>
        <v>2018</v>
      </c>
      <c r="AG81" s="37">
        <f t="shared" si="26"/>
        <v>8406471.7133965492</v>
      </c>
      <c r="AH81" s="37">
        <f t="shared" si="27"/>
        <v>18922113.489460032</v>
      </c>
      <c r="AI81" s="37">
        <f t="shared" si="28"/>
        <v>10504514.353307113</v>
      </c>
      <c r="AJ81" s="37">
        <f t="shared" si="29"/>
        <v>6671932.272864731</v>
      </c>
      <c r="AK81" s="37">
        <f t="shared" si="30"/>
        <v>8528598.6577670984</v>
      </c>
      <c r="AL81" s="37">
        <f t="shared" si="31"/>
        <v>0</v>
      </c>
      <c r="AM81" s="37">
        <f t="shared" si="32"/>
        <v>53033630.486795515</v>
      </c>
    </row>
    <row r="82" spans="1:39">
      <c r="A82" s="12"/>
      <c r="B82" s="13">
        <f t="shared" si="15"/>
        <v>2019</v>
      </c>
      <c r="C82" s="40">
        <f t="shared" ref="C82:H82" si="35">C12+C47</f>
        <v>17492801.239930108</v>
      </c>
      <c r="D82" s="41">
        <f t="shared" si="35"/>
        <v>22943272.003345914</v>
      </c>
      <c r="E82" s="41">
        <f t="shared" si="35"/>
        <v>22891123.856649578</v>
      </c>
      <c r="F82" s="41">
        <f t="shared" si="35"/>
        <v>13859772.198021686</v>
      </c>
      <c r="G82" s="41">
        <f t="shared" si="35"/>
        <v>17765480.628722422</v>
      </c>
      <c r="H82" s="37">
        <f t="shared" si="35"/>
        <v>0</v>
      </c>
      <c r="I82" s="37">
        <f t="shared" si="17"/>
        <v>94952449.926669717</v>
      </c>
      <c r="J82" s="4"/>
      <c r="K82" s="12"/>
      <c r="L82" s="13">
        <f t="shared" si="8"/>
        <v>2019</v>
      </c>
      <c r="M82" s="40">
        <f t="shared" si="9"/>
        <v>26239201.859895162</v>
      </c>
      <c r="N82" s="41">
        <f t="shared" si="9"/>
        <v>42608933.72049956</v>
      </c>
      <c r="O82" s="41">
        <f t="shared" si="9"/>
        <v>33791659.026482701</v>
      </c>
      <c r="P82" s="41">
        <f t="shared" si="9"/>
        <v>20789658.297032528</v>
      </c>
      <c r="Q82" s="41">
        <f t="shared" si="9"/>
        <v>26648220.943083633</v>
      </c>
      <c r="R82" s="37">
        <f t="shared" si="10"/>
        <v>0</v>
      </c>
      <c r="S82" s="37">
        <f t="shared" si="18"/>
        <v>150077673.8469936</v>
      </c>
      <c r="U82" s="12"/>
      <c r="V82" s="13">
        <f t="shared" si="11"/>
        <v>2019</v>
      </c>
      <c r="W82" s="116">
        <f t="shared" si="19"/>
        <v>0.17483747706968336</v>
      </c>
      <c r="X82" s="116">
        <f t="shared" si="20"/>
        <v>0.28391254094156604</v>
      </c>
      <c r="Y82" s="116">
        <f t="shared" si="21"/>
        <v>0.22516113263411716</v>
      </c>
      <c r="Z82" s="116">
        <f t="shared" si="22"/>
        <v>0.13852598967004173</v>
      </c>
      <c r="AA82" s="116">
        <f t="shared" si="23"/>
        <v>0.17756285968459165</v>
      </c>
      <c r="AB82" s="116">
        <f t="shared" si="24"/>
        <v>0</v>
      </c>
      <c r="AC82" s="116">
        <f t="shared" si="25"/>
        <v>1</v>
      </c>
      <c r="AE82" s="12"/>
      <c r="AF82" s="13">
        <f t="shared" si="13"/>
        <v>2019</v>
      </c>
      <c r="AG82" s="37">
        <f t="shared" si="26"/>
        <v>8746400.6199650541</v>
      </c>
      <c r="AH82" s="37">
        <f t="shared" si="27"/>
        <v>19665661.717153646</v>
      </c>
      <c r="AI82" s="37">
        <f t="shared" si="28"/>
        <v>10900535.169833124</v>
      </c>
      <c r="AJ82" s="37">
        <f t="shared" si="29"/>
        <v>6929886.0990108419</v>
      </c>
      <c r="AK82" s="37">
        <f t="shared" si="30"/>
        <v>8882740.3143612109</v>
      </c>
      <c r="AL82" s="37">
        <f t="shared" si="31"/>
        <v>0</v>
      </c>
      <c r="AM82" s="37">
        <f t="shared" si="32"/>
        <v>55125223.920323879</v>
      </c>
    </row>
    <row r="83" spans="1:39">
      <c r="A83" s="12"/>
      <c r="B83" s="13">
        <f t="shared" si="15"/>
        <v>2020</v>
      </c>
      <c r="C83" s="40">
        <f t="shared" ref="C83:H83" si="36">C13+C48</f>
        <v>18204449.830102079</v>
      </c>
      <c r="D83" s="41">
        <f t="shared" si="36"/>
        <v>23851250.083145671</v>
      </c>
      <c r="E83" s="41">
        <f t="shared" si="36"/>
        <v>23761515.399469286</v>
      </c>
      <c r="F83" s="41">
        <f t="shared" si="36"/>
        <v>14399749.031802017</v>
      </c>
      <c r="G83" s="41">
        <f t="shared" si="36"/>
        <v>18506927.122911874</v>
      </c>
      <c r="H83" s="37">
        <f t="shared" si="36"/>
        <v>0</v>
      </c>
      <c r="I83" s="37">
        <f t="shared" si="17"/>
        <v>98723891.467430919</v>
      </c>
      <c r="J83" s="4"/>
      <c r="K83" s="12"/>
      <c r="L83" s="13">
        <f t="shared" si="8"/>
        <v>2020</v>
      </c>
      <c r="M83" s="40">
        <f t="shared" si="9"/>
        <v>27306674.74515311</v>
      </c>
      <c r="N83" s="41">
        <f t="shared" si="9"/>
        <v>44295178.725841977</v>
      </c>
      <c r="O83" s="41">
        <f t="shared" si="9"/>
        <v>35076522.732549891</v>
      </c>
      <c r="P83" s="41">
        <f t="shared" si="9"/>
        <v>21599623.547703024</v>
      </c>
      <c r="Q83" s="41">
        <f t="shared" si="9"/>
        <v>27760390.684367809</v>
      </c>
      <c r="R83" s="37">
        <f t="shared" si="10"/>
        <v>0</v>
      </c>
      <c r="S83" s="37">
        <f t="shared" si="18"/>
        <v>156038390.43561581</v>
      </c>
      <c r="U83" s="12"/>
      <c r="V83" s="13">
        <f t="shared" si="11"/>
        <v>2020</v>
      </c>
      <c r="W83" s="116">
        <f t="shared" si="19"/>
        <v>0.17499972070283773</v>
      </c>
      <c r="X83" s="116">
        <f t="shared" si="20"/>
        <v>0.28387359419808261</v>
      </c>
      <c r="Y83" s="116">
        <f t="shared" si="21"/>
        <v>0.22479418452488514</v>
      </c>
      <c r="Z83" s="116">
        <f t="shared" si="22"/>
        <v>0.13842505993174423</v>
      </c>
      <c r="AA83" s="116">
        <f t="shared" si="23"/>
        <v>0.17790744064245034</v>
      </c>
      <c r="AB83" s="116">
        <f t="shared" si="24"/>
        <v>0</v>
      </c>
      <c r="AC83" s="116">
        <f t="shared" si="25"/>
        <v>1</v>
      </c>
      <c r="AE83" s="12"/>
      <c r="AF83" s="13">
        <f t="shared" si="13"/>
        <v>2020</v>
      </c>
      <c r="AG83" s="37">
        <f t="shared" si="26"/>
        <v>9102224.9150510319</v>
      </c>
      <c r="AH83" s="37">
        <f t="shared" si="27"/>
        <v>20443928.642696306</v>
      </c>
      <c r="AI83" s="37">
        <f t="shared" si="28"/>
        <v>11315007.333080605</v>
      </c>
      <c r="AJ83" s="37">
        <f t="shared" si="29"/>
        <v>7199874.5159010068</v>
      </c>
      <c r="AK83" s="37">
        <f t="shared" si="30"/>
        <v>9253463.5614559352</v>
      </c>
      <c r="AL83" s="37">
        <f t="shared" si="31"/>
        <v>0</v>
      </c>
      <c r="AM83" s="37">
        <f t="shared" si="32"/>
        <v>57314498.968184888</v>
      </c>
    </row>
    <row r="84" spans="1:39">
      <c r="A84" s="12"/>
      <c r="B84" s="13">
        <f t="shared" si="15"/>
        <v>2021</v>
      </c>
      <c r="C84" s="40">
        <f t="shared" ref="C84:H84" si="37">C14+C49</f>
        <v>18634484.867419243</v>
      </c>
      <c r="D84" s="41">
        <f t="shared" si="37"/>
        <v>24400445.597875051</v>
      </c>
      <c r="E84" s="41">
        <f t="shared" si="37"/>
        <v>24288727.400719874</v>
      </c>
      <c r="F84" s="41">
        <f t="shared" si="37"/>
        <v>14726537.132721949</v>
      </c>
      <c r="G84" s="41">
        <f t="shared" si="37"/>
        <v>18954583.807923127</v>
      </c>
      <c r="H84" s="37">
        <f t="shared" si="37"/>
        <v>0</v>
      </c>
      <c r="I84" s="37">
        <f t="shared" si="17"/>
        <v>101004778.80665924</v>
      </c>
      <c r="J84" s="4"/>
      <c r="K84" s="12"/>
      <c r="L84" s="13">
        <f t="shared" si="8"/>
        <v>2021</v>
      </c>
      <c r="M84" s="40">
        <f t="shared" si="9"/>
        <v>27951727.301128857</v>
      </c>
      <c r="N84" s="41">
        <f t="shared" si="9"/>
        <v>45315113.253196545</v>
      </c>
      <c r="O84" s="41">
        <f t="shared" si="9"/>
        <v>35854788.067729332</v>
      </c>
      <c r="P84" s="41">
        <f t="shared" si="9"/>
        <v>22089805.699082926</v>
      </c>
      <c r="Q84" s="41">
        <f t="shared" si="9"/>
        <v>28431875.711884685</v>
      </c>
      <c r="R84" s="37">
        <f t="shared" si="10"/>
        <v>0</v>
      </c>
      <c r="S84" s="37">
        <f t="shared" si="18"/>
        <v>159643310.03302234</v>
      </c>
      <c r="U84" s="12"/>
      <c r="V84" s="13">
        <f t="shared" si="11"/>
        <v>2021</v>
      </c>
      <c r="W84" s="116">
        <f t="shared" si="19"/>
        <v>0.17508862285144941</v>
      </c>
      <c r="X84" s="116">
        <f t="shared" si="20"/>
        <v>0.28385225314999468</v>
      </c>
      <c r="Y84" s="116">
        <f t="shared" si="21"/>
        <v>0.224593113612545</v>
      </c>
      <c r="Z84" s="116">
        <f t="shared" si="22"/>
        <v>0.1383697550151875</v>
      </c>
      <c r="AA84" s="116">
        <f t="shared" si="23"/>
        <v>0.17809625537082344</v>
      </c>
      <c r="AB84" s="116">
        <f t="shared" si="24"/>
        <v>0</v>
      </c>
      <c r="AC84" s="116">
        <f t="shared" si="25"/>
        <v>1</v>
      </c>
      <c r="AE84" s="12"/>
      <c r="AF84" s="13">
        <f t="shared" si="13"/>
        <v>2021</v>
      </c>
      <c r="AG84" s="37">
        <f t="shared" si="26"/>
        <v>9317242.433709614</v>
      </c>
      <c r="AH84" s="37">
        <f t="shared" si="27"/>
        <v>20914667.655321494</v>
      </c>
      <c r="AI84" s="37">
        <f t="shared" si="28"/>
        <v>11566060.667009458</v>
      </c>
      <c r="AJ84" s="37">
        <f t="shared" si="29"/>
        <v>7363268.5663609765</v>
      </c>
      <c r="AK84" s="37">
        <f t="shared" si="30"/>
        <v>9477291.9039615579</v>
      </c>
      <c r="AL84" s="37">
        <f t="shared" si="31"/>
        <v>0</v>
      </c>
      <c r="AM84" s="37">
        <f t="shared" si="32"/>
        <v>58638531.226363108</v>
      </c>
    </row>
    <row r="85" spans="1:39">
      <c r="A85" s="12"/>
      <c r="B85" s="13">
        <f t="shared" si="15"/>
        <v>2022</v>
      </c>
      <c r="C85" s="40">
        <f t="shared" ref="C85:H85" si="38">C15+C50</f>
        <v>19076027.561834659</v>
      </c>
      <c r="D85" s="41">
        <f t="shared" si="38"/>
        <v>24964304.889677826</v>
      </c>
      <c r="E85" s="41">
        <f t="shared" si="38"/>
        <v>24829969.412623681</v>
      </c>
      <c r="F85" s="41">
        <f t="shared" si="38"/>
        <v>15062039.401550984</v>
      </c>
      <c r="G85" s="41">
        <f t="shared" si="38"/>
        <v>19414243.694876608</v>
      </c>
      <c r="H85" s="37">
        <f t="shared" si="38"/>
        <v>0</v>
      </c>
      <c r="I85" s="37">
        <f t="shared" si="17"/>
        <v>103346584.96056375</v>
      </c>
      <c r="J85" s="4"/>
      <c r="K85" s="12"/>
      <c r="L85" s="13">
        <f t="shared" si="8"/>
        <v>2022</v>
      </c>
      <c r="M85" s="40">
        <f t="shared" si="9"/>
        <v>28614041.342751984</v>
      </c>
      <c r="N85" s="41">
        <f t="shared" si="9"/>
        <v>46362280.509401686</v>
      </c>
      <c r="O85" s="41">
        <f t="shared" si="9"/>
        <v>36653764.371015906</v>
      </c>
      <c r="P85" s="41">
        <f t="shared" si="9"/>
        <v>22593059.102326479</v>
      </c>
      <c r="Q85" s="41">
        <f t="shared" si="9"/>
        <v>29121365.542314902</v>
      </c>
      <c r="R85" s="37">
        <f t="shared" si="10"/>
        <v>0</v>
      </c>
      <c r="S85" s="37">
        <f t="shared" si="18"/>
        <v>163344510.86781096</v>
      </c>
      <c r="U85" s="12"/>
      <c r="V85" s="13">
        <f t="shared" si="11"/>
        <v>2022</v>
      </c>
      <c r="W85" s="116">
        <f t="shared" si="19"/>
        <v>0.1751760202453839</v>
      </c>
      <c r="X85" s="116">
        <f t="shared" si="20"/>
        <v>0.28383127331974484</v>
      </c>
      <c r="Y85" s="116">
        <f t="shared" si="21"/>
        <v>0.22439544601947797</v>
      </c>
      <c r="Z85" s="116">
        <f t="shared" si="22"/>
        <v>0.13831538618772599</v>
      </c>
      <c r="AA85" s="116">
        <f t="shared" si="23"/>
        <v>0.17828187422766725</v>
      </c>
      <c r="AB85" s="116">
        <f t="shared" si="24"/>
        <v>0</v>
      </c>
      <c r="AC85" s="116">
        <f t="shared" si="25"/>
        <v>1</v>
      </c>
      <c r="AE85" s="12"/>
      <c r="AF85" s="13">
        <f t="shared" si="13"/>
        <v>2022</v>
      </c>
      <c r="AG85" s="37">
        <f t="shared" si="26"/>
        <v>9538013.7809173241</v>
      </c>
      <c r="AH85" s="37">
        <f t="shared" si="27"/>
        <v>21397975.61972386</v>
      </c>
      <c r="AI85" s="37">
        <f t="shared" si="28"/>
        <v>11823794.958392225</v>
      </c>
      <c r="AJ85" s="37">
        <f t="shared" si="29"/>
        <v>7531019.7007754948</v>
      </c>
      <c r="AK85" s="37">
        <f t="shared" si="30"/>
        <v>9707121.8474382944</v>
      </c>
      <c r="AL85" s="37">
        <f t="shared" si="31"/>
        <v>0</v>
      </c>
      <c r="AM85" s="37">
        <f t="shared" si="32"/>
        <v>59997925.907247216</v>
      </c>
    </row>
    <row r="86" spans="1:39">
      <c r="A86" s="12"/>
      <c r="B86" s="13">
        <f t="shared" si="15"/>
        <v>2023</v>
      </c>
      <c r="C86" s="40">
        <f t="shared" ref="C86:H86" si="39">C16+C51</f>
        <v>19529388.945891518</v>
      </c>
      <c r="D86" s="41">
        <f t="shared" si="39"/>
        <v>25543224.229800627</v>
      </c>
      <c r="E86" s="41">
        <f t="shared" si="39"/>
        <v>25385620.484820917</v>
      </c>
      <c r="F86" s="41">
        <f t="shared" si="39"/>
        <v>15406491.305630622</v>
      </c>
      <c r="G86" s="41">
        <f t="shared" si="39"/>
        <v>19886231.258562077</v>
      </c>
      <c r="H86" s="37">
        <f t="shared" si="39"/>
        <v>0</v>
      </c>
      <c r="I86" s="37">
        <f t="shared" si="17"/>
        <v>105750956.22470576</v>
      </c>
      <c r="J86" s="4"/>
      <c r="K86" s="12"/>
      <c r="L86" s="13">
        <f t="shared" si="8"/>
        <v>2023</v>
      </c>
      <c r="M86" s="40">
        <f t="shared" si="9"/>
        <v>29294083.418837272</v>
      </c>
      <c r="N86" s="41">
        <f t="shared" si="9"/>
        <v>47437416.426772594</v>
      </c>
      <c r="O86" s="41">
        <f t="shared" si="9"/>
        <v>37474011.191878498</v>
      </c>
      <c r="P86" s="41">
        <f t="shared" si="9"/>
        <v>23109736.958445936</v>
      </c>
      <c r="Q86" s="41">
        <f t="shared" si="9"/>
        <v>29829346.88784311</v>
      </c>
      <c r="R86" s="37">
        <f t="shared" si="10"/>
        <v>0</v>
      </c>
      <c r="S86" s="37">
        <f t="shared" si="18"/>
        <v>167144594.88377741</v>
      </c>
      <c r="U86" s="12"/>
      <c r="V86" s="13">
        <f t="shared" si="11"/>
        <v>2023</v>
      </c>
      <c r="W86" s="116">
        <f t="shared" si="19"/>
        <v>0.17526192479754829</v>
      </c>
      <c r="X86" s="116">
        <f t="shared" si="20"/>
        <v>0.2838106518476281</v>
      </c>
      <c r="Y86" s="116">
        <f t="shared" si="21"/>
        <v>0.22420115480213845</v>
      </c>
      <c r="Z86" s="116">
        <f t="shared" si="22"/>
        <v>0.13826194603848899</v>
      </c>
      <c r="AA86" s="116">
        <f t="shared" si="23"/>
        <v>0.17846432251419614</v>
      </c>
      <c r="AB86" s="116">
        <f t="shared" si="24"/>
        <v>0</v>
      </c>
      <c r="AC86" s="116">
        <f t="shared" si="25"/>
        <v>1</v>
      </c>
      <c r="AE86" s="12"/>
      <c r="AF86" s="13">
        <f t="shared" si="13"/>
        <v>2023</v>
      </c>
      <c r="AG86" s="37">
        <f t="shared" si="26"/>
        <v>9764694.4729457535</v>
      </c>
      <c r="AH86" s="37">
        <f t="shared" si="27"/>
        <v>21894192.196971968</v>
      </c>
      <c r="AI86" s="37">
        <f t="shared" si="28"/>
        <v>12088390.70705758</v>
      </c>
      <c r="AJ86" s="37">
        <f t="shared" si="29"/>
        <v>7703245.652815314</v>
      </c>
      <c r="AK86" s="37">
        <f t="shared" si="30"/>
        <v>9943115.6292810328</v>
      </c>
      <c r="AL86" s="37">
        <f t="shared" si="31"/>
        <v>0</v>
      </c>
      <c r="AM86" s="37">
        <f t="shared" si="32"/>
        <v>61393638.659071654</v>
      </c>
    </row>
    <row r="87" spans="1:39">
      <c r="A87" s="12"/>
      <c r="B87" s="13">
        <f t="shared" si="15"/>
        <v>2024</v>
      </c>
      <c r="C87" s="40">
        <f t="shared" ref="C87:H87" si="40">C17+C52</f>
        <v>19994888.465064134</v>
      </c>
      <c r="D87" s="41">
        <f t="shared" si="40"/>
        <v>26137610.607859459</v>
      </c>
      <c r="E87" s="41">
        <f t="shared" si="40"/>
        <v>25956069.919320256</v>
      </c>
      <c r="F87" s="41">
        <f t="shared" si="40"/>
        <v>15760134.681192152</v>
      </c>
      <c r="G87" s="41">
        <f t="shared" si="40"/>
        <v>20370879.750388715</v>
      </c>
      <c r="H87" s="37">
        <f t="shared" si="40"/>
        <v>0</v>
      </c>
      <c r="I87" s="37">
        <f t="shared" si="17"/>
        <v>108219583.42382473</v>
      </c>
      <c r="J87" s="4"/>
      <c r="K87" s="12"/>
      <c r="L87" s="13">
        <f t="shared" si="8"/>
        <v>2024</v>
      </c>
      <c r="M87" s="40">
        <f t="shared" si="9"/>
        <v>29992332.697596196</v>
      </c>
      <c r="N87" s="41">
        <f t="shared" si="9"/>
        <v>48541276.843167573</v>
      </c>
      <c r="O87" s="41">
        <f t="shared" si="9"/>
        <v>38316103.214234665</v>
      </c>
      <c r="P87" s="41">
        <f t="shared" si="9"/>
        <v>23640202.021788236</v>
      </c>
      <c r="Q87" s="41">
        <f t="shared" si="9"/>
        <v>30556319.625583071</v>
      </c>
      <c r="R87" s="37">
        <f t="shared" si="10"/>
        <v>0</v>
      </c>
      <c r="S87" s="37">
        <f t="shared" si="18"/>
        <v>171046234.40236974</v>
      </c>
      <c r="U87" s="12"/>
      <c r="V87" s="13">
        <f t="shared" si="11"/>
        <v>2024</v>
      </c>
      <c r="W87" s="116">
        <f t="shared" si="19"/>
        <v>0.17534634891196804</v>
      </c>
      <c r="X87" s="116">
        <f t="shared" si="20"/>
        <v>0.28379038575604598</v>
      </c>
      <c r="Y87" s="116">
        <f t="shared" si="21"/>
        <v>0.22401021190621323</v>
      </c>
      <c r="Z87" s="116">
        <f t="shared" si="22"/>
        <v>0.1382094268510872</v>
      </c>
      <c r="AA87" s="116">
        <f t="shared" si="23"/>
        <v>0.17864362657468555</v>
      </c>
      <c r="AB87" s="116">
        <f t="shared" si="24"/>
        <v>0</v>
      </c>
      <c r="AC87" s="116">
        <f t="shared" si="25"/>
        <v>1</v>
      </c>
      <c r="AE87" s="12"/>
      <c r="AF87" s="13">
        <f t="shared" si="13"/>
        <v>2024</v>
      </c>
      <c r="AG87" s="37">
        <f t="shared" si="26"/>
        <v>9997444.2325320616</v>
      </c>
      <c r="AH87" s="37">
        <f t="shared" si="27"/>
        <v>22403666.235308114</v>
      </c>
      <c r="AI87" s="37">
        <f t="shared" si="28"/>
        <v>12360033.29491441</v>
      </c>
      <c r="AJ87" s="37">
        <f t="shared" si="29"/>
        <v>7880067.3405960836</v>
      </c>
      <c r="AK87" s="37">
        <f t="shared" si="30"/>
        <v>10185439.875194356</v>
      </c>
      <c r="AL87" s="37">
        <f t="shared" si="31"/>
        <v>0</v>
      </c>
      <c r="AM87" s="37">
        <f t="shared" si="32"/>
        <v>62826650.97854501</v>
      </c>
    </row>
    <row r="88" spans="1:39">
      <c r="A88" s="12"/>
      <c r="B88" s="13">
        <f t="shared" si="15"/>
        <v>2025</v>
      </c>
      <c r="C88" s="40">
        <f t="shared" ref="C88:H88" si="41">C18+C53</f>
        <v>20472854.205326743</v>
      </c>
      <c r="D88" s="41">
        <f t="shared" si="41"/>
        <v>26747882.021770068</v>
      </c>
      <c r="E88" s="41">
        <f t="shared" si="41"/>
        <v>26521921.956410386</v>
      </c>
      <c r="F88" s="41">
        <f t="shared" si="41"/>
        <v>16123217.905634111</v>
      </c>
      <c r="G88" s="41">
        <f t="shared" si="41"/>
        <v>20868531.435791831</v>
      </c>
      <c r="H88" s="37">
        <f t="shared" si="41"/>
        <v>0</v>
      </c>
      <c r="I88" s="37">
        <f t="shared" si="17"/>
        <v>110734407.52493314</v>
      </c>
      <c r="J88" s="4"/>
      <c r="K88" s="12"/>
      <c r="L88" s="13">
        <f t="shared" si="8"/>
        <v>2025</v>
      </c>
      <c r="M88" s="40">
        <f t="shared" ref="M88:R97" si="42">M18+M53</f>
        <v>30709281.307990108</v>
      </c>
      <c r="N88" s="41">
        <f t="shared" si="42"/>
        <v>49674638.040430143</v>
      </c>
      <c r="O88" s="41">
        <f t="shared" si="42"/>
        <v>39151408.60232009</v>
      </c>
      <c r="P88" s="41">
        <f t="shared" si="42"/>
        <v>24184826.858451169</v>
      </c>
      <c r="Q88" s="41">
        <f t="shared" si="42"/>
        <v>31302797.153687745</v>
      </c>
      <c r="R88" s="37">
        <f t="shared" si="42"/>
        <v>0</v>
      </c>
      <c r="S88" s="37">
        <f t="shared" si="18"/>
        <v>175022951.96287924</v>
      </c>
      <c r="U88" s="12"/>
      <c r="V88" s="13">
        <f t="shared" si="11"/>
        <v>2025</v>
      </c>
      <c r="W88" s="116">
        <f t="shared" si="19"/>
        <v>0.17545859536469974</v>
      </c>
      <c r="X88" s="116">
        <f t="shared" si="20"/>
        <v>0.28381785064947185</v>
      </c>
      <c r="Y88" s="116">
        <f t="shared" si="21"/>
        <v>0.22369299662265862</v>
      </c>
      <c r="Z88" s="116">
        <f t="shared" si="22"/>
        <v>0.13818088763341477</v>
      </c>
      <c r="AA88" s="116">
        <f t="shared" si="23"/>
        <v>0.17884966972975511</v>
      </c>
      <c r="AB88" s="116">
        <f t="shared" si="24"/>
        <v>0</v>
      </c>
      <c r="AC88" s="116">
        <f t="shared" si="25"/>
        <v>1</v>
      </c>
      <c r="AE88" s="12"/>
      <c r="AF88" s="13">
        <f t="shared" si="13"/>
        <v>2025</v>
      </c>
      <c r="AG88" s="37">
        <f t="shared" si="26"/>
        <v>10236427.102663364</v>
      </c>
      <c r="AH88" s="37">
        <f t="shared" si="27"/>
        <v>22926756.018660076</v>
      </c>
      <c r="AI88" s="37">
        <f t="shared" si="28"/>
        <v>12629486.645909704</v>
      </c>
      <c r="AJ88" s="37">
        <f t="shared" si="29"/>
        <v>8061608.9528170582</v>
      </c>
      <c r="AK88" s="37">
        <f t="shared" si="30"/>
        <v>10434265.717895914</v>
      </c>
      <c r="AL88" s="37">
        <f t="shared" si="31"/>
        <v>0</v>
      </c>
      <c r="AM88" s="37">
        <f t="shared" si="32"/>
        <v>64288544.437946096</v>
      </c>
    </row>
    <row r="89" spans="1:39">
      <c r="A89" s="12"/>
      <c r="B89" s="13">
        <f t="shared" si="15"/>
        <v>2026</v>
      </c>
      <c r="C89" s="40">
        <f t="shared" ref="C89:H89" si="43">C19+C54</f>
        <v>20963623.126878023</v>
      </c>
      <c r="D89" s="41">
        <f t="shared" si="43"/>
        <v>27374467.775520895</v>
      </c>
      <c r="E89" s="41">
        <f t="shared" si="43"/>
        <v>27123138.833956264</v>
      </c>
      <c r="F89" s="41">
        <f t="shared" si="43"/>
        <v>16495996.074459855</v>
      </c>
      <c r="G89" s="41">
        <f t="shared" si="43"/>
        <v>21379537.838061411</v>
      </c>
      <c r="H89" s="37">
        <f t="shared" si="43"/>
        <v>0</v>
      </c>
      <c r="I89" s="37">
        <f t="shared" si="17"/>
        <v>113336763.64887644</v>
      </c>
      <c r="J89" s="4"/>
      <c r="K89" s="12"/>
      <c r="L89" s="13">
        <f t="shared" si="8"/>
        <v>2026</v>
      </c>
      <c r="M89" s="40">
        <f t="shared" si="42"/>
        <v>45410372.549338087</v>
      </c>
      <c r="N89" s="41">
        <f t="shared" si="42"/>
        <v>49733160.55868227</v>
      </c>
      <c r="O89" s="41">
        <f t="shared" si="42"/>
        <v>47625386.673675887</v>
      </c>
      <c r="P89" s="41">
        <f t="shared" si="42"/>
        <v>35732817.88076096</v>
      </c>
      <c r="Q89" s="41">
        <f t="shared" si="42"/>
        <v>31372175.441402737</v>
      </c>
      <c r="R89" s="37">
        <f t="shared" si="42"/>
        <v>0</v>
      </c>
      <c r="S89" s="37">
        <f t="shared" si="18"/>
        <v>209873913.10385996</v>
      </c>
      <c r="U89" s="12"/>
      <c r="V89" s="13">
        <f t="shared" si="11"/>
        <v>2026</v>
      </c>
      <c r="W89" s="116">
        <f t="shared" si="19"/>
        <v>0.21636978068287091</v>
      </c>
      <c r="X89" s="116">
        <f t="shared" si="20"/>
        <v>0.23696685225510092</v>
      </c>
      <c r="Y89" s="116">
        <f t="shared" si="21"/>
        <v>0.22692380377025509</v>
      </c>
      <c r="Z89" s="116">
        <f t="shared" si="22"/>
        <v>0.17025850117483596</v>
      </c>
      <c r="AA89" s="116">
        <f t="shared" si="23"/>
        <v>0.14948106211693704</v>
      </c>
      <c r="AB89" s="116">
        <f t="shared" si="24"/>
        <v>0</v>
      </c>
      <c r="AC89" s="116">
        <f t="shared" si="25"/>
        <v>1</v>
      </c>
      <c r="AE89" s="12"/>
      <c r="AF89" s="13">
        <f t="shared" si="13"/>
        <v>2026</v>
      </c>
      <c r="AG89" s="37">
        <f t="shared" si="26"/>
        <v>24446749.422460064</v>
      </c>
      <c r="AH89" s="37">
        <f t="shared" si="27"/>
        <v>22358692.783161376</v>
      </c>
      <c r="AI89" s="37">
        <f t="shared" si="28"/>
        <v>20502247.839719623</v>
      </c>
      <c r="AJ89" s="37">
        <f t="shared" si="29"/>
        <v>19236821.806301106</v>
      </c>
      <c r="AK89" s="37">
        <f t="shared" si="30"/>
        <v>9992637.6033413261</v>
      </c>
      <c r="AL89" s="37">
        <f t="shared" si="31"/>
        <v>0</v>
      </c>
      <c r="AM89" s="37">
        <f t="shared" si="32"/>
        <v>96537149.454983518</v>
      </c>
    </row>
    <row r="90" spans="1:39">
      <c r="A90" s="12"/>
      <c r="B90" s="13">
        <f t="shared" si="15"/>
        <v>2027</v>
      </c>
      <c r="C90" s="40">
        <f t="shared" ref="C90:H90" si="44">C20+C55</f>
        <v>21467541.304187849</v>
      </c>
      <c r="D90" s="41">
        <f t="shared" si="44"/>
        <v>28017808.785000805</v>
      </c>
      <c r="E90" s="41">
        <f t="shared" si="44"/>
        <v>27740386.225817006</v>
      </c>
      <c r="F90" s="41">
        <f t="shared" si="44"/>
        <v>16878731.183001287</v>
      </c>
      <c r="G90" s="41">
        <f t="shared" si="44"/>
        <v>21904259.988766246</v>
      </c>
      <c r="H90" s="37">
        <f t="shared" si="44"/>
        <v>0</v>
      </c>
      <c r="I90" s="37">
        <f t="shared" si="17"/>
        <v>116008727.48677319</v>
      </c>
      <c r="J90" s="4"/>
      <c r="K90" s="12"/>
      <c r="L90" s="13">
        <f t="shared" si="8"/>
        <v>2027</v>
      </c>
      <c r="M90" s="40">
        <f t="shared" si="42"/>
        <v>46501935.397397675</v>
      </c>
      <c r="N90" s="41">
        <f t="shared" si="42"/>
        <v>50901964.349894628</v>
      </c>
      <c r="O90" s="41">
        <f t="shared" si="42"/>
        <v>48709208.346773818</v>
      </c>
      <c r="P90" s="41">
        <f t="shared" si="42"/>
        <v>36561879.906985544</v>
      </c>
      <c r="Q90" s="41">
        <f t="shared" si="42"/>
        <v>32142148.838142682</v>
      </c>
      <c r="R90" s="37">
        <f t="shared" si="42"/>
        <v>0</v>
      </c>
      <c r="S90" s="37">
        <f t="shared" si="18"/>
        <v>214817136.83919439</v>
      </c>
      <c r="U90" s="12"/>
      <c r="V90" s="13">
        <f t="shared" si="11"/>
        <v>2027</v>
      </c>
      <c r="W90" s="116">
        <f t="shared" si="19"/>
        <v>0.21647218691033768</v>
      </c>
      <c r="X90" s="116">
        <f t="shared" si="20"/>
        <v>0.23695485890400961</v>
      </c>
      <c r="Y90" s="116">
        <f t="shared" si="21"/>
        <v>0.22674731198580333</v>
      </c>
      <c r="Z90" s="116">
        <f t="shared" si="22"/>
        <v>0.1702000149753167</v>
      </c>
      <c r="AA90" s="116">
        <f t="shared" si="23"/>
        <v>0.14962562722453249</v>
      </c>
      <c r="AB90" s="116">
        <f t="shared" si="24"/>
        <v>0</v>
      </c>
      <c r="AC90" s="116">
        <f t="shared" si="25"/>
        <v>1</v>
      </c>
      <c r="AE90" s="12"/>
      <c r="AF90" s="13">
        <f t="shared" si="13"/>
        <v>2027</v>
      </c>
      <c r="AG90" s="37">
        <f t="shared" si="26"/>
        <v>25034394.093209825</v>
      </c>
      <c r="AH90" s="37">
        <f t="shared" si="27"/>
        <v>22884155.564893823</v>
      </c>
      <c r="AI90" s="37">
        <f t="shared" si="28"/>
        <v>20968822.120956812</v>
      </c>
      <c r="AJ90" s="37">
        <f t="shared" si="29"/>
        <v>19683148.723984256</v>
      </c>
      <c r="AK90" s="37">
        <f t="shared" si="30"/>
        <v>10237888.849376436</v>
      </c>
      <c r="AL90" s="37">
        <f t="shared" si="31"/>
        <v>0</v>
      </c>
      <c r="AM90" s="37">
        <f t="shared" si="32"/>
        <v>98808409.352421194</v>
      </c>
    </row>
    <row r="91" spans="1:39">
      <c r="A91" s="12"/>
      <c r="B91" s="13">
        <f t="shared" si="15"/>
        <v>2028</v>
      </c>
      <c r="C91" s="40">
        <f t="shared" ref="C91:H91" si="45">C21+C56</f>
        <v>21984964.172537368</v>
      </c>
      <c r="D91" s="41">
        <f t="shared" si="45"/>
        <v>28678357.892099451</v>
      </c>
      <c r="E91" s="41">
        <f t="shared" si="45"/>
        <v>28374097.29260039</v>
      </c>
      <c r="F91" s="41">
        <f t="shared" si="45"/>
        <v>17271692.313058227</v>
      </c>
      <c r="G91" s="41">
        <f t="shared" si="45"/>
        <v>22443068.684952017</v>
      </c>
      <c r="H91" s="37">
        <f t="shared" si="45"/>
        <v>0</v>
      </c>
      <c r="I91" s="37">
        <f t="shared" si="17"/>
        <v>118752180.35524745</v>
      </c>
      <c r="J91" s="4"/>
      <c r="K91" s="12"/>
      <c r="L91" s="13">
        <f t="shared" si="8"/>
        <v>2028</v>
      </c>
      <c r="M91" s="40">
        <f t="shared" si="42"/>
        <v>47622751.445038475</v>
      </c>
      <c r="N91" s="41">
        <f t="shared" si="42"/>
        <v>52102031.327255473</v>
      </c>
      <c r="O91" s="41">
        <f t="shared" si="42"/>
        <v>49821938.506056197</v>
      </c>
      <c r="P91" s="41">
        <f t="shared" si="42"/>
        <v>37413093.039624602</v>
      </c>
      <c r="Q91" s="41">
        <f t="shared" si="42"/>
        <v>32932792.727366537</v>
      </c>
      <c r="R91" s="37">
        <f t="shared" si="42"/>
        <v>0</v>
      </c>
      <c r="S91" s="37">
        <f t="shared" si="18"/>
        <v>219892607.04534128</v>
      </c>
      <c r="U91" s="12"/>
      <c r="V91" s="13">
        <f t="shared" si="11"/>
        <v>2028</v>
      </c>
      <c r="W91" s="116">
        <f t="shared" si="19"/>
        <v>0.21657277197690775</v>
      </c>
      <c r="X91" s="116">
        <f t="shared" si="20"/>
        <v>0.23694307883899057</v>
      </c>
      <c r="Y91" s="116">
        <f t="shared" si="21"/>
        <v>0.22657395887703966</v>
      </c>
      <c r="Z91" s="116">
        <f t="shared" si="22"/>
        <v>0.17014256887640666</v>
      </c>
      <c r="AA91" s="116">
        <f t="shared" si="23"/>
        <v>0.14976762143065539</v>
      </c>
      <c r="AB91" s="116">
        <f t="shared" si="24"/>
        <v>0</v>
      </c>
      <c r="AC91" s="116">
        <f t="shared" si="25"/>
        <v>1</v>
      </c>
      <c r="AE91" s="12"/>
      <c r="AF91" s="13">
        <f t="shared" si="13"/>
        <v>2028</v>
      </c>
      <c r="AG91" s="37">
        <f t="shared" si="26"/>
        <v>25637787.272501107</v>
      </c>
      <c r="AH91" s="37">
        <f t="shared" si="27"/>
        <v>23423673.435156021</v>
      </c>
      <c r="AI91" s="37">
        <f t="shared" si="28"/>
        <v>21447841.213455807</v>
      </c>
      <c r="AJ91" s="37">
        <f t="shared" si="29"/>
        <v>20141400.726566374</v>
      </c>
      <c r="AK91" s="37">
        <f t="shared" si="30"/>
        <v>10489724.04241452</v>
      </c>
      <c r="AL91" s="37">
        <f t="shared" si="31"/>
        <v>0</v>
      </c>
      <c r="AM91" s="37">
        <f t="shared" si="32"/>
        <v>101140426.69009383</v>
      </c>
    </row>
    <row r="92" spans="1:39">
      <c r="A92" s="12"/>
      <c r="B92" s="13">
        <f t="shared" si="15"/>
        <v>2029</v>
      </c>
      <c r="C92" s="40">
        <f t="shared" ref="C92:H92" si="46">C22+C57</f>
        <v>22516256.781227887</v>
      </c>
      <c r="D92" s="41">
        <f t="shared" si="46"/>
        <v>29356580.187304046</v>
      </c>
      <c r="E92" s="41">
        <f t="shared" si="46"/>
        <v>29024716.910979014</v>
      </c>
      <c r="F92" s="41">
        <f t="shared" si="46"/>
        <v>17675155.824586317</v>
      </c>
      <c r="G92" s="41">
        <f t="shared" si="46"/>
        <v>22996344.753296588</v>
      </c>
      <c r="H92" s="37">
        <f t="shared" si="46"/>
        <v>0</v>
      </c>
      <c r="I92" s="37">
        <f t="shared" si="17"/>
        <v>121569054.45739385</v>
      </c>
      <c r="J92" s="4"/>
      <c r="K92" s="12"/>
      <c r="L92" s="13">
        <f t="shared" si="8"/>
        <v>2029</v>
      </c>
      <c r="M92" s="40">
        <f t="shared" si="42"/>
        <v>48773611.444158249</v>
      </c>
      <c r="N92" s="41">
        <f t="shared" si="42"/>
        <v>53334206.454037324</v>
      </c>
      <c r="O92" s="41">
        <f t="shared" si="42"/>
        <v>50964358.30829417</v>
      </c>
      <c r="P92" s="41">
        <f t="shared" si="42"/>
        <v>38287055.916063853</v>
      </c>
      <c r="Q92" s="41">
        <f t="shared" si="42"/>
        <v>33744665.931320205</v>
      </c>
      <c r="R92" s="37">
        <f t="shared" si="42"/>
        <v>0</v>
      </c>
      <c r="S92" s="37">
        <f t="shared" si="18"/>
        <v>225103898.05387378</v>
      </c>
      <c r="U92" s="12"/>
      <c r="V92" s="13">
        <f t="shared" si="11"/>
        <v>2029</v>
      </c>
      <c r="W92" s="116">
        <f t="shared" si="19"/>
        <v>0.21667155418377221</v>
      </c>
      <c r="X92" s="116">
        <f t="shared" si="20"/>
        <v>0.23693150991669157</v>
      </c>
      <c r="Y92" s="116">
        <f t="shared" si="21"/>
        <v>0.22640371290281674</v>
      </c>
      <c r="Z92" s="116">
        <f t="shared" si="22"/>
        <v>0.17008615242593741</v>
      </c>
      <c r="AA92" s="116">
        <f t="shared" si="23"/>
        <v>0.14990707057078215</v>
      </c>
      <c r="AB92" s="116">
        <f t="shared" si="24"/>
        <v>0</v>
      </c>
      <c r="AC92" s="116">
        <f t="shared" si="25"/>
        <v>1</v>
      </c>
      <c r="AE92" s="12"/>
      <c r="AF92" s="13">
        <f t="shared" si="13"/>
        <v>2029</v>
      </c>
      <c r="AG92" s="37">
        <f t="shared" si="26"/>
        <v>26257354.662930362</v>
      </c>
      <c r="AH92" s="37">
        <f t="shared" si="27"/>
        <v>23977626.266733278</v>
      </c>
      <c r="AI92" s="37">
        <f t="shared" si="28"/>
        <v>21939641.397315156</v>
      </c>
      <c r="AJ92" s="37">
        <f t="shared" si="29"/>
        <v>20611900.091477536</v>
      </c>
      <c r="AK92" s="37">
        <f t="shared" si="30"/>
        <v>10748321.178023618</v>
      </c>
      <c r="AL92" s="37">
        <f t="shared" si="31"/>
        <v>0</v>
      </c>
      <c r="AM92" s="37">
        <f t="shared" si="32"/>
        <v>103534843.59647992</v>
      </c>
    </row>
    <row r="93" spans="1:39">
      <c r="A93" s="12"/>
      <c r="B93" s="13">
        <f t="shared" si="15"/>
        <v>2030</v>
      </c>
      <c r="C93" s="40">
        <f t="shared" ref="C93:H93" si="47">C23+C58</f>
        <v>23061794.053639129</v>
      </c>
      <c r="D93" s="41">
        <f t="shared" si="47"/>
        <v>30052953.341022365</v>
      </c>
      <c r="E93" s="41">
        <f t="shared" si="47"/>
        <v>29692701.990608007</v>
      </c>
      <c r="F93" s="41">
        <f t="shared" si="47"/>
        <v>18089405.55257016</v>
      </c>
      <c r="G93" s="41">
        <f t="shared" si="47"/>
        <v>23564479.321410719</v>
      </c>
      <c r="H93" s="37">
        <f t="shared" si="47"/>
        <v>0</v>
      </c>
      <c r="I93" s="37">
        <f t="shared" si="17"/>
        <v>124461334.25925037</v>
      </c>
      <c r="J93" s="4"/>
      <c r="K93" s="12"/>
      <c r="L93" s="13">
        <f t="shared" si="8"/>
        <v>2030</v>
      </c>
      <c r="M93" s="40">
        <f t="shared" si="42"/>
        <v>49955327.53539928</v>
      </c>
      <c r="N93" s="41">
        <f t="shared" si="42"/>
        <v>54599357.548357375</v>
      </c>
      <c r="O93" s="41">
        <f t="shared" si="42"/>
        <v>52137270.038913973</v>
      </c>
      <c r="P93" s="41">
        <f t="shared" si="42"/>
        <v>39184383.365730226</v>
      </c>
      <c r="Q93" s="41">
        <f t="shared" si="42"/>
        <v>34578342.387762167</v>
      </c>
      <c r="R93" s="37">
        <f t="shared" si="42"/>
        <v>0</v>
      </c>
      <c r="S93" s="37">
        <f t="shared" si="18"/>
        <v>230454680.87616301</v>
      </c>
      <c r="U93" s="12"/>
      <c r="V93" s="13">
        <f t="shared" si="11"/>
        <v>2030</v>
      </c>
      <c r="W93" s="116">
        <f t="shared" si="19"/>
        <v>0.21676855226144548</v>
      </c>
      <c r="X93" s="116">
        <f t="shared" si="20"/>
        <v>0.23692014994348001</v>
      </c>
      <c r="Y93" s="116">
        <f t="shared" si="21"/>
        <v>0.22623654178207137</v>
      </c>
      <c r="Z93" s="116">
        <f t="shared" si="22"/>
        <v>0.17003075492654593</v>
      </c>
      <c r="AA93" s="116">
        <f t="shared" si="23"/>
        <v>0.15004400108645727</v>
      </c>
      <c r="AB93" s="116">
        <f t="shared" si="24"/>
        <v>0</v>
      </c>
      <c r="AC93" s="116">
        <f t="shared" si="25"/>
        <v>1</v>
      </c>
      <c r="AE93" s="12"/>
      <c r="AF93" s="13">
        <f t="shared" si="13"/>
        <v>2030</v>
      </c>
      <c r="AG93" s="37">
        <f t="shared" si="26"/>
        <v>26893533.481760152</v>
      </c>
      <c r="AH93" s="37">
        <f t="shared" si="27"/>
        <v>24546404.20733501</v>
      </c>
      <c r="AI93" s="37">
        <f t="shared" si="28"/>
        <v>22444568.048305966</v>
      </c>
      <c r="AJ93" s="37">
        <f t="shared" si="29"/>
        <v>21094977.813160066</v>
      </c>
      <c r="AK93" s="37">
        <f t="shared" si="30"/>
        <v>11013863.066351447</v>
      </c>
      <c r="AL93" s="37">
        <f t="shared" si="31"/>
        <v>0</v>
      </c>
      <c r="AM93" s="37">
        <f t="shared" si="32"/>
        <v>105993346.61691263</v>
      </c>
    </row>
    <row r="94" spans="1:39">
      <c r="A94" s="12"/>
      <c r="B94" s="13">
        <f t="shared" si="15"/>
        <v>2031</v>
      </c>
      <c r="C94" s="40">
        <f t="shared" ref="C94:H94" si="48">C24+C59</f>
        <v>23621961.054322049</v>
      </c>
      <c r="D94" s="41">
        <f t="shared" si="48"/>
        <v>30767967.943868075</v>
      </c>
      <c r="E94" s="41">
        <f t="shared" si="48"/>
        <v>30378521.799615335</v>
      </c>
      <c r="F94" s="41">
        <f t="shared" si="48"/>
        <v>18514733.009221826</v>
      </c>
      <c r="G94" s="41">
        <f t="shared" si="48"/>
        <v>24147874.096477408</v>
      </c>
      <c r="H94" s="37">
        <f t="shared" si="48"/>
        <v>0</v>
      </c>
      <c r="I94" s="37">
        <f t="shared" si="17"/>
        <v>127431057.90350468</v>
      </c>
      <c r="J94" s="4"/>
      <c r="K94" s="12"/>
      <c r="L94" s="13">
        <f t="shared" si="8"/>
        <v>2031</v>
      </c>
      <c r="M94" s="40">
        <f t="shared" si="42"/>
        <v>51168733.826711722</v>
      </c>
      <c r="N94" s="41">
        <f t="shared" si="42"/>
        <v>55898375.901398279</v>
      </c>
      <c r="O94" s="41">
        <f t="shared" si="42"/>
        <v>53341497.683523811</v>
      </c>
      <c r="P94" s="41">
        <f t="shared" si="42"/>
        <v>40105706.848084338</v>
      </c>
      <c r="Q94" s="41">
        <f t="shared" si="42"/>
        <v>35434411.558836892</v>
      </c>
      <c r="R94" s="37">
        <f t="shared" si="42"/>
        <v>0</v>
      </c>
      <c r="S94" s="37">
        <f t="shared" si="18"/>
        <v>235948725.81855506</v>
      </c>
      <c r="U94" s="12"/>
      <c r="V94" s="13">
        <f t="shared" si="11"/>
        <v>2031</v>
      </c>
      <c r="W94" s="116">
        <f t="shared" si="19"/>
        <v>0.21686378533809314</v>
      </c>
      <c r="X94" s="116">
        <f t="shared" si="20"/>
        <v>0.2369089966791523</v>
      </c>
      <c r="Y94" s="116">
        <f t="shared" si="21"/>
        <v>0.22607241254840896</v>
      </c>
      <c r="Z94" s="116">
        <f t="shared" si="22"/>
        <v>0.16997636545376257</v>
      </c>
      <c r="AA94" s="116">
        <f t="shared" si="23"/>
        <v>0.15017843998058295</v>
      </c>
      <c r="AB94" s="116">
        <f t="shared" si="24"/>
        <v>0</v>
      </c>
      <c r="AC94" s="116">
        <f t="shared" si="25"/>
        <v>1</v>
      </c>
      <c r="AE94" s="12"/>
      <c r="AF94" s="13">
        <f t="shared" si="13"/>
        <v>2031</v>
      </c>
      <c r="AG94" s="37">
        <f t="shared" si="26"/>
        <v>27546772.772389673</v>
      </c>
      <c r="AH94" s="37">
        <f t="shared" si="27"/>
        <v>25130407.957530204</v>
      </c>
      <c r="AI94" s="37">
        <f t="shared" si="28"/>
        <v>22962975.883908477</v>
      </c>
      <c r="AJ94" s="37">
        <f t="shared" si="29"/>
        <v>21590973.838862512</v>
      </c>
      <c r="AK94" s="37">
        <f t="shared" si="30"/>
        <v>11286537.462359484</v>
      </c>
      <c r="AL94" s="37">
        <f t="shared" si="31"/>
        <v>0</v>
      </c>
      <c r="AM94" s="37">
        <f t="shared" si="32"/>
        <v>108517667.91505037</v>
      </c>
    </row>
    <row r="95" spans="1:39">
      <c r="A95" s="12"/>
      <c r="B95" s="13">
        <f t="shared" si="15"/>
        <v>2032</v>
      </c>
      <c r="C95" s="40">
        <f t="shared" ref="C95:H95" si="49">C25+C60</f>
        <v>24197153.263316508</v>
      </c>
      <c r="D95" s="41">
        <f t="shared" si="49"/>
        <v>31502127.856150702</v>
      </c>
      <c r="E95" s="41">
        <f t="shared" si="49"/>
        <v>31082658.298896633</v>
      </c>
      <c r="F95" s="41">
        <f t="shared" si="49"/>
        <v>18951437.591648828</v>
      </c>
      <c r="G95" s="41">
        <f t="shared" si="49"/>
        <v>24746941.651428498</v>
      </c>
      <c r="H95" s="37">
        <f t="shared" si="49"/>
        <v>0</v>
      </c>
      <c r="I95" s="37">
        <f t="shared" si="17"/>
        <v>130480318.66144118</v>
      </c>
      <c r="K95" s="12"/>
      <c r="L95" s="13">
        <f t="shared" si="8"/>
        <v>2032</v>
      </c>
      <c r="M95" s="40">
        <f t="shared" si="42"/>
        <v>52414686.987567119</v>
      </c>
      <c r="N95" s="41">
        <f t="shared" si="42"/>
        <v>57232176.912351646</v>
      </c>
      <c r="O95" s="41">
        <f t="shared" si="42"/>
        <v>54577887.514900453</v>
      </c>
      <c r="P95" s="41">
        <f t="shared" si="42"/>
        <v>41051674.902460754</v>
      </c>
      <c r="Q95" s="41">
        <f t="shared" si="42"/>
        <v>36313478.851008162</v>
      </c>
      <c r="R95" s="37">
        <f t="shared" si="42"/>
        <v>0</v>
      </c>
      <c r="S95" s="37">
        <f t="shared" si="18"/>
        <v>241589905.16828811</v>
      </c>
      <c r="U95" s="12"/>
      <c r="V95" s="13">
        <f t="shared" si="11"/>
        <v>2032</v>
      </c>
      <c r="W95" s="116">
        <f t="shared" si="19"/>
        <v>0.21695727290863329</v>
      </c>
      <c r="X95" s="116">
        <f t="shared" si="20"/>
        <v>0.23689804784055243</v>
      </c>
      <c r="Y95" s="116">
        <f t="shared" si="21"/>
        <v>0.2259112916033568</v>
      </c>
      <c r="Z95" s="116">
        <f t="shared" si="22"/>
        <v>0.16992297287365851</v>
      </c>
      <c r="AA95" s="116">
        <f t="shared" si="23"/>
        <v>0.15031041477379903</v>
      </c>
      <c r="AB95" s="116">
        <f t="shared" si="24"/>
        <v>0</v>
      </c>
      <c r="AC95" s="116">
        <f t="shared" si="25"/>
        <v>1</v>
      </c>
      <c r="AE95" s="12"/>
      <c r="AF95" s="13">
        <f t="shared" si="13"/>
        <v>2032</v>
      </c>
      <c r="AG95" s="37">
        <f t="shared" si="26"/>
        <v>28217533.724250611</v>
      </c>
      <c r="AH95" s="37">
        <f t="shared" si="27"/>
        <v>25730049.056200944</v>
      </c>
      <c r="AI95" s="37">
        <f t="shared" si="28"/>
        <v>23495229.21600382</v>
      </c>
      <c r="AJ95" s="37">
        <f t="shared" si="29"/>
        <v>22100237.310811926</v>
      </c>
      <c r="AK95" s="37">
        <f t="shared" si="30"/>
        <v>11566537.199579664</v>
      </c>
      <c r="AL95" s="37">
        <f t="shared" si="31"/>
        <v>0</v>
      </c>
      <c r="AM95" s="37">
        <f t="shared" si="32"/>
        <v>111109586.50684693</v>
      </c>
    </row>
    <row r="96" spans="1:39">
      <c r="A96" s="12"/>
      <c r="B96" s="13">
        <f t="shared" si="15"/>
        <v>2033</v>
      </c>
      <c r="C96" s="40">
        <f t="shared" ref="C96:H96" si="50">C26+C61</f>
        <v>24787776.857889216</v>
      </c>
      <c r="D96" s="41">
        <f t="shared" si="50"/>
        <v>32255950.566819374</v>
      </c>
      <c r="E96" s="41">
        <f t="shared" si="50"/>
        <v>31805606.485452704</v>
      </c>
      <c r="F96" s="41">
        <f t="shared" si="50"/>
        <v>19399826.79513954</v>
      </c>
      <c r="G96" s="41">
        <f t="shared" si="50"/>
        <v>25362105.718862299</v>
      </c>
      <c r="H96" s="37">
        <f t="shared" si="50"/>
        <v>0</v>
      </c>
      <c r="I96" s="37">
        <f t="shared" si="17"/>
        <v>133611266.42416312</v>
      </c>
      <c r="J96" s="4"/>
      <c r="K96" s="12"/>
      <c r="L96" s="13">
        <f t="shared" si="8"/>
        <v>2033</v>
      </c>
      <c r="M96" s="40">
        <f t="shared" si="42"/>
        <v>53694066.859245345</v>
      </c>
      <c r="N96" s="41">
        <f t="shared" si="42"/>
        <v>58601700.740536936</v>
      </c>
      <c r="O96" s="41">
        <f t="shared" si="42"/>
        <v>55847308.695853911</v>
      </c>
      <c r="P96" s="41">
        <f t="shared" si="42"/>
        <v>42022953.610076338</v>
      </c>
      <c r="Q96" s="41">
        <f t="shared" si="42"/>
        <v>37216166.046351671</v>
      </c>
      <c r="R96" s="37">
        <f t="shared" si="42"/>
        <v>0</v>
      </c>
      <c r="S96" s="37">
        <f t="shared" si="18"/>
        <v>247382195.95206422</v>
      </c>
      <c r="U96" s="12"/>
      <c r="V96" s="13">
        <f t="shared" si="11"/>
        <v>2033</v>
      </c>
      <c r="W96" s="116">
        <f t="shared" si="19"/>
        <v>0.21704903480462984</v>
      </c>
      <c r="X96" s="116">
        <f t="shared" si="20"/>
        <v>0.23688730110509779</v>
      </c>
      <c r="Y96" s="116">
        <f t="shared" si="21"/>
        <v>0.22575314476824987</v>
      </c>
      <c r="Z96" s="116">
        <f t="shared" si="22"/>
        <v>0.16987056586003957</v>
      </c>
      <c r="AA96" s="116">
        <f t="shared" si="23"/>
        <v>0.15043995346198288</v>
      </c>
      <c r="AB96" s="116">
        <f t="shared" si="24"/>
        <v>0</v>
      </c>
      <c r="AC96" s="116">
        <f t="shared" si="25"/>
        <v>1</v>
      </c>
      <c r="AE96" s="12"/>
      <c r="AF96" s="13">
        <f t="shared" si="13"/>
        <v>2033</v>
      </c>
      <c r="AG96" s="37">
        <f t="shared" si="26"/>
        <v>28906290.001356129</v>
      </c>
      <c r="AH96" s="37">
        <f t="shared" si="27"/>
        <v>26345750.173717562</v>
      </c>
      <c r="AI96" s="37">
        <f t="shared" si="28"/>
        <v>24041702.210401207</v>
      </c>
      <c r="AJ96" s="37">
        <f t="shared" si="29"/>
        <v>22623126.814936798</v>
      </c>
      <c r="AK96" s="37">
        <f t="shared" si="30"/>
        <v>11854060.327489372</v>
      </c>
      <c r="AL96" s="37">
        <f t="shared" si="31"/>
        <v>0</v>
      </c>
      <c r="AM96" s="37">
        <f t="shared" si="32"/>
        <v>113770929.5279011</v>
      </c>
    </row>
    <row r="97" spans="1:47">
      <c r="A97" s="12"/>
      <c r="B97" s="13">
        <f t="shared" si="15"/>
        <v>2034</v>
      </c>
      <c r="C97" s="40">
        <f t="shared" ref="C97:H97" si="51">C27+C62</f>
        <v>25394249.001892719</v>
      </c>
      <c r="D97" s="41">
        <f t="shared" si="51"/>
        <v>33029967.56211596</v>
      </c>
      <c r="E97" s="41">
        <f t="shared" si="51"/>
        <v>32547874.745014247</v>
      </c>
      <c r="F97" s="41">
        <f t="shared" si="51"/>
        <v>19860216.432217944</v>
      </c>
      <c r="G97" s="41">
        <f t="shared" si="51"/>
        <v>25993801.492911711</v>
      </c>
      <c r="H97" s="37">
        <f t="shared" si="51"/>
        <v>0</v>
      </c>
      <c r="I97" s="37">
        <f t="shared" si="17"/>
        <v>136826109.23415259</v>
      </c>
      <c r="J97" s="4"/>
      <c r="K97" s="12"/>
      <c r="L97" s="13">
        <f t="shared" si="8"/>
        <v>2034</v>
      </c>
      <c r="M97" s="40">
        <f t="shared" si="42"/>
        <v>55007777.081629805</v>
      </c>
      <c r="N97" s="41">
        <f t="shared" si="42"/>
        <v>60007912.975160047</v>
      </c>
      <c r="O97" s="41">
        <f t="shared" si="42"/>
        <v>57150653.898399517</v>
      </c>
      <c r="P97" s="41">
        <f t="shared" si="42"/>
        <v>43020227.068535924</v>
      </c>
      <c r="Q97" s="41">
        <f t="shared" si="42"/>
        <v>38143111.74551408</v>
      </c>
      <c r="R97" s="37">
        <f t="shared" si="42"/>
        <v>0</v>
      </c>
      <c r="S97" s="37">
        <f t="shared" si="18"/>
        <v>253329682.76923937</v>
      </c>
      <c r="U97" s="12"/>
      <c r="V97" s="13">
        <f t="shared" si="11"/>
        <v>2034</v>
      </c>
      <c r="W97" s="116">
        <f t="shared" si="19"/>
        <v>0.21713909116499766</v>
      </c>
      <c r="X97" s="116">
        <f t="shared" si="20"/>
        <v>0.23687675411421044</v>
      </c>
      <c r="Y97" s="116">
        <f t="shared" si="21"/>
        <v>0.22559793733472061</v>
      </c>
      <c r="Z97" s="116">
        <f t="shared" si="22"/>
        <v>0.16981913291117762</v>
      </c>
      <c r="AA97" s="116">
        <f t="shared" si="23"/>
        <v>0.15056708447489367</v>
      </c>
      <c r="AB97" s="116">
        <f t="shared" si="24"/>
        <v>0</v>
      </c>
      <c r="AC97" s="116">
        <f t="shared" si="25"/>
        <v>1</v>
      </c>
      <c r="AE97" s="12"/>
      <c r="AF97" s="13">
        <f t="shared" si="13"/>
        <v>2034</v>
      </c>
      <c r="AG97" s="37">
        <f t="shared" si="26"/>
        <v>29613528.079737086</v>
      </c>
      <c r="AH97" s="37">
        <f t="shared" si="27"/>
        <v>26977945.413044088</v>
      </c>
      <c r="AI97" s="37">
        <f t="shared" si="28"/>
        <v>24602779.15338527</v>
      </c>
      <c r="AJ97" s="37">
        <f t="shared" si="29"/>
        <v>23160010.63631798</v>
      </c>
      <c r="AK97" s="37">
        <f t="shared" si="30"/>
        <v>12149310.252602369</v>
      </c>
      <c r="AL97" s="37">
        <f t="shared" si="31"/>
        <v>0</v>
      </c>
      <c r="AM97" s="37">
        <f t="shared" si="32"/>
        <v>116503573.53508678</v>
      </c>
    </row>
    <row r="98" spans="1:47">
      <c r="A98" s="12"/>
      <c r="B98" s="13">
        <f t="shared" si="15"/>
        <v>2035</v>
      </c>
      <c r="C98" s="40">
        <f t="shared" ref="C98:H98" si="52">C28+C63</f>
        <v>26016998.142951511</v>
      </c>
      <c r="D98" s="41">
        <f t="shared" si="52"/>
        <v>33824724.704200238</v>
      </c>
      <c r="E98" s="41">
        <f t="shared" si="52"/>
        <v>33309985.214205198</v>
      </c>
      <c r="F98" s="41">
        <f t="shared" si="52"/>
        <v>20332930.85762386</v>
      </c>
      <c r="G98" s="41">
        <f t="shared" si="52"/>
        <v>26642475.939277869</v>
      </c>
      <c r="H98" s="37">
        <f t="shared" si="52"/>
        <v>0</v>
      </c>
      <c r="I98" s="37">
        <f t="shared" si="17"/>
        <v>140127114.85825866</v>
      </c>
      <c r="J98" s="4"/>
      <c r="K98" s="12"/>
      <c r="L98" s="13">
        <f t="shared" si="8"/>
        <v>2035</v>
      </c>
      <c r="M98" s="40">
        <f t="shared" ref="M98:R107" si="53">M28+M63</f>
        <v>56356745.736957453</v>
      </c>
      <c r="N98" s="41">
        <f t="shared" si="53"/>
        <v>61451805.323188908</v>
      </c>
      <c r="O98" s="41">
        <f t="shared" si="53"/>
        <v>58488839.939678609</v>
      </c>
      <c r="P98" s="41">
        <f t="shared" si="53"/>
        <v>44044197.879173458</v>
      </c>
      <c r="Q98" s="41">
        <f t="shared" si="53"/>
        <v>39094971.822654031</v>
      </c>
      <c r="R98" s="37">
        <f t="shared" si="53"/>
        <v>0</v>
      </c>
      <c r="S98" s="37">
        <f t="shared" si="18"/>
        <v>259436560.70165247</v>
      </c>
      <c r="U98" s="12"/>
      <c r="V98" s="13">
        <f t="shared" si="11"/>
        <v>2035</v>
      </c>
      <c r="W98" s="116">
        <f t="shared" si="19"/>
        <v>0.21722746240753141</v>
      </c>
      <c r="X98" s="116">
        <f t="shared" si="20"/>
        <v>0.2368664044766513</v>
      </c>
      <c r="Y98" s="116">
        <f t="shared" si="21"/>
        <v>0.22544563411376609</v>
      </c>
      <c r="Z98" s="116">
        <f t="shared" si="22"/>
        <v>0.16976866236607074</v>
      </c>
      <c r="AA98" s="116">
        <f t="shared" si="23"/>
        <v>0.15069183663598043</v>
      </c>
      <c r="AB98" s="116">
        <f t="shared" si="24"/>
        <v>0</v>
      </c>
      <c r="AC98" s="116">
        <f t="shared" si="25"/>
        <v>1</v>
      </c>
      <c r="AE98" s="12"/>
      <c r="AF98" s="13">
        <f t="shared" si="13"/>
        <v>2035</v>
      </c>
      <c r="AG98" s="37">
        <f t="shared" si="26"/>
        <v>30339747.594005942</v>
      </c>
      <c r="AH98" s="37">
        <f t="shared" si="27"/>
        <v>27627080.61898867</v>
      </c>
      <c r="AI98" s="37">
        <f t="shared" si="28"/>
        <v>25178854.725473411</v>
      </c>
      <c r="AJ98" s="37">
        <f t="shared" si="29"/>
        <v>23711267.021549597</v>
      </c>
      <c r="AK98" s="37">
        <f t="shared" si="30"/>
        <v>12452495.883376162</v>
      </c>
      <c r="AL98" s="37">
        <f t="shared" si="31"/>
        <v>0</v>
      </c>
      <c r="AM98" s="37">
        <f t="shared" si="32"/>
        <v>119309445.8433938</v>
      </c>
    </row>
    <row r="99" spans="1:47">
      <c r="A99" s="12"/>
      <c r="B99" s="13">
        <f t="shared" si="15"/>
        <v>2036</v>
      </c>
      <c r="C99" s="40">
        <f t="shared" ref="C99:H99" si="54">C29+C64</f>
        <v>26656464.317687061</v>
      </c>
      <c r="D99" s="41">
        <f t="shared" si="54"/>
        <v>34640782.620016955</v>
      </c>
      <c r="E99" s="41">
        <f t="shared" si="54"/>
        <v>34092474.152502432</v>
      </c>
      <c r="F99" s="41">
        <f t="shared" si="54"/>
        <v>20818303.199378833</v>
      </c>
      <c r="G99" s="41">
        <f t="shared" si="54"/>
        <v>27308588.113650192</v>
      </c>
      <c r="H99" s="37">
        <f t="shared" si="54"/>
        <v>0</v>
      </c>
      <c r="I99" s="37">
        <f t="shared" si="17"/>
        <v>143516612.40323547</v>
      </c>
      <c r="J99" s="4"/>
      <c r="K99" s="12"/>
      <c r="L99" s="13">
        <f t="shared" si="8"/>
        <v>2036</v>
      </c>
      <c r="M99" s="40">
        <f t="shared" si="53"/>
        <v>57741926.010982245</v>
      </c>
      <c r="N99" s="41">
        <f t="shared" si="53"/>
        <v>62934396.31583605</v>
      </c>
      <c r="O99" s="41">
        <f t="shared" si="53"/>
        <v>59862808.435080968</v>
      </c>
      <c r="P99" s="41">
        <f t="shared" si="53"/>
        <v>45095587.647575587</v>
      </c>
      <c r="Q99" s="41">
        <f t="shared" si="53"/>
        <v>40072419.892689481</v>
      </c>
      <c r="R99" s="37">
        <f t="shared" si="53"/>
        <v>0</v>
      </c>
      <c r="S99" s="37">
        <f t="shared" si="18"/>
        <v>265707138.30216432</v>
      </c>
      <c r="U99" s="12"/>
      <c r="V99" s="13">
        <f t="shared" si="11"/>
        <v>2036</v>
      </c>
      <c r="W99" s="116">
        <f t="shared" si="19"/>
        <v>0.21731416920127172</v>
      </c>
      <c r="X99" s="116">
        <f t="shared" si="20"/>
        <v>0.2368562497717564</v>
      </c>
      <c r="Y99" s="116">
        <f t="shared" si="21"/>
        <v>0.22529619948337443</v>
      </c>
      <c r="Z99" s="116">
        <f t="shared" si="22"/>
        <v>0.16971914242022554</v>
      </c>
      <c r="AA99" s="116">
        <f t="shared" si="23"/>
        <v>0.150814239123372</v>
      </c>
      <c r="AB99" s="116">
        <f t="shared" si="24"/>
        <v>0</v>
      </c>
      <c r="AC99" s="116">
        <f t="shared" si="25"/>
        <v>1</v>
      </c>
      <c r="AE99" s="12"/>
      <c r="AF99" s="13">
        <f t="shared" si="13"/>
        <v>2036</v>
      </c>
      <c r="AG99" s="37">
        <f t="shared" si="26"/>
        <v>31085461.693295185</v>
      </c>
      <c r="AH99" s="37">
        <f t="shared" si="27"/>
        <v>28293613.695819095</v>
      </c>
      <c r="AI99" s="37">
        <f t="shared" si="28"/>
        <v>25770334.282578535</v>
      </c>
      <c r="AJ99" s="37">
        <f t="shared" si="29"/>
        <v>24277284.448196754</v>
      </c>
      <c r="AK99" s="37">
        <f t="shared" si="30"/>
        <v>12763831.77903929</v>
      </c>
      <c r="AL99" s="37">
        <f t="shared" si="31"/>
        <v>0</v>
      </c>
      <c r="AM99" s="37">
        <f t="shared" si="32"/>
        <v>122190525.89892885</v>
      </c>
    </row>
    <row r="100" spans="1:47">
      <c r="A100" s="12"/>
      <c r="B100" s="13">
        <f t="shared" si="15"/>
        <v>2037</v>
      </c>
      <c r="C100" s="40">
        <f t="shared" ref="C100:H100" si="55">C30+C65</f>
        <v>27313099.465199143</v>
      </c>
      <c r="D100" s="41">
        <f t="shared" si="55"/>
        <v>35478717.100681648</v>
      </c>
      <c r="E100" s="41">
        <f t="shared" si="55"/>
        <v>34895892.324257113</v>
      </c>
      <c r="F100" s="41">
        <f t="shared" si="55"/>
        <v>21316675.59610239</v>
      </c>
      <c r="G100" s="41">
        <f t="shared" si="55"/>
        <v>27992609.488739714</v>
      </c>
      <c r="H100" s="37">
        <f t="shared" si="55"/>
        <v>0</v>
      </c>
      <c r="I100" s="37">
        <f t="shared" si="17"/>
        <v>146996993.97498</v>
      </c>
      <c r="J100" s="4"/>
      <c r="K100" s="12"/>
      <c r="L100" s="13">
        <f t="shared" si="8"/>
        <v>2037</v>
      </c>
      <c r="M100" s="40">
        <f t="shared" si="53"/>
        <v>59164296.872023098</v>
      </c>
      <c r="N100" s="41">
        <f t="shared" si="53"/>
        <v>64456732.034151599</v>
      </c>
      <c r="O100" s="41">
        <f t="shared" si="53"/>
        <v>61273526.469034031</v>
      </c>
      <c r="P100" s="41">
        <f t="shared" si="53"/>
        <v>46175137.497644551</v>
      </c>
      <c r="Q100" s="41">
        <f t="shared" si="53"/>
        <v>41076147.791183837</v>
      </c>
      <c r="R100" s="37">
        <f t="shared" si="53"/>
        <v>0</v>
      </c>
      <c r="S100" s="37">
        <f t="shared" si="18"/>
        <v>272145840.66403711</v>
      </c>
      <c r="U100" s="12"/>
      <c r="V100" s="13">
        <f t="shared" si="11"/>
        <v>2037</v>
      </c>
      <c r="W100" s="116">
        <f t="shared" si="19"/>
        <v>0.21739923243971665</v>
      </c>
      <c r="X100" s="116">
        <f t="shared" si="20"/>
        <v>0.23684628755257428</v>
      </c>
      <c r="Y100" s="116">
        <f t="shared" si="21"/>
        <v>0.2251495974346929</v>
      </c>
      <c r="Z100" s="116">
        <f t="shared" si="22"/>
        <v>0.16967056114095663</v>
      </c>
      <c r="AA100" s="116">
        <f t="shared" si="23"/>
        <v>0.15093432143205954</v>
      </c>
      <c r="AB100" s="116">
        <f t="shared" si="24"/>
        <v>0</v>
      </c>
      <c r="AC100" s="116">
        <f t="shared" si="25"/>
        <v>1</v>
      </c>
      <c r="AE100" s="12"/>
      <c r="AF100" s="13">
        <f t="shared" si="13"/>
        <v>2037</v>
      </c>
      <c r="AG100" s="37">
        <f t="shared" si="26"/>
        <v>31851197.406823955</v>
      </c>
      <c r="AH100" s="37">
        <f t="shared" si="27"/>
        <v>28978014.933469951</v>
      </c>
      <c r="AI100" s="37">
        <f t="shared" si="28"/>
        <v>26377634.144776918</v>
      </c>
      <c r="AJ100" s="37">
        <f t="shared" si="29"/>
        <v>24858461.901542161</v>
      </c>
      <c r="AK100" s="37">
        <f t="shared" si="30"/>
        <v>13083538.302444123</v>
      </c>
      <c r="AL100" s="37">
        <f t="shared" si="31"/>
        <v>0</v>
      </c>
      <c r="AM100" s="37">
        <f t="shared" si="32"/>
        <v>125148846.68905711</v>
      </c>
    </row>
    <row r="101" spans="1:47">
      <c r="A101" s="12"/>
      <c r="B101" s="13">
        <f t="shared" si="15"/>
        <v>2038</v>
      </c>
      <c r="C101" s="40">
        <f t="shared" ref="C101:H101" si="56">C31+C66</f>
        <v>27987367.749026861</v>
      </c>
      <c r="D101" s="41">
        <f t="shared" si="56"/>
        <v>36339119.511669919</v>
      </c>
      <c r="E101" s="41">
        <f t="shared" si="56"/>
        <v>35720805.391049616</v>
      </c>
      <c r="F101" s="41">
        <f t="shared" si="56"/>
        <v>21828399.440747686</v>
      </c>
      <c r="G101" s="41">
        <f t="shared" si="56"/>
        <v>28695024.290158644</v>
      </c>
      <c r="H101" s="37">
        <f t="shared" si="56"/>
        <v>0</v>
      </c>
      <c r="I101" s="37">
        <f t="shared" si="17"/>
        <v>150570716.3826527</v>
      </c>
      <c r="J101" s="4"/>
      <c r="K101" s="12"/>
      <c r="L101" s="13">
        <f t="shared" si="8"/>
        <v>2038</v>
      </c>
      <c r="M101" s="40">
        <f t="shared" si="53"/>
        <v>60624863.768379979</v>
      </c>
      <c r="N101" s="41">
        <f t="shared" si="53"/>
        <v>66019886.854243532</v>
      </c>
      <c r="O101" s="41">
        <f t="shared" si="53"/>
        <v>62721987.283937082</v>
      </c>
      <c r="P101" s="41">
        <f t="shared" si="53"/>
        <v>47283608.599566281</v>
      </c>
      <c r="Q101" s="41">
        <f t="shared" si="53"/>
        <v>42106866.067213275</v>
      </c>
      <c r="R101" s="37">
        <f t="shared" si="53"/>
        <v>0</v>
      </c>
      <c r="S101" s="37">
        <f t="shared" si="18"/>
        <v>278757212.57334018</v>
      </c>
      <c r="U101" s="12"/>
      <c r="V101" s="13">
        <f t="shared" si="11"/>
        <v>2038</v>
      </c>
      <c r="W101" s="116">
        <f t="shared" si="19"/>
        <v>0.21748267321488501</v>
      </c>
      <c r="X101" s="116">
        <f t="shared" si="20"/>
        <v>0.23683651534890385</v>
      </c>
      <c r="Y101" s="116">
        <f t="shared" si="21"/>
        <v>0.22500579161672854</v>
      </c>
      <c r="Z101" s="116">
        <f t="shared" si="22"/>
        <v>0.16962290648219946</v>
      </c>
      <c r="AA101" s="116">
        <f t="shared" si="23"/>
        <v>0.15105211333728302</v>
      </c>
      <c r="AB101" s="116">
        <f t="shared" si="24"/>
        <v>0</v>
      </c>
      <c r="AC101" s="116">
        <f t="shared" si="25"/>
        <v>1</v>
      </c>
      <c r="AE101" s="12"/>
      <c r="AF101" s="13">
        <f t="shared" si="13"/>
        <v>2038</v>
      </c>
      <c r="AG101" s="37">
        <f t="shared" si="26"/>
        <v>32637496.019353118</v>
      </c>
      <c r="AH101" s="37">
        <f t="shared" si="27"/>
        <v>29680767.342573613</v>
      </c>
      <c r="AI101" s="37">
        <f t="shared" si="28"/>
        <v>27001181.892887466</v>
      </c>
      <c r="AJ101" s="37">
        <f t="shared" si="29"/>
        <v>25455209.158818595</v>
      </c>
      <c r="AK101" s="37">
        <f t="shared" si="30"/>
        <v>13411841.77705463</v>
      </c>
      <c r="AL101" s="37">
        <f t="shared" si="31"/>
        <v>0</v>
      </c>
      <c r="AM101" s="37">
        <f t="shared" si="32"/>
        <v>128186496.19068748</v>
      </c>
    </row>
    <row r="102" spans="1:47">
      <c r="A102" s="12"/>
      <c r="B102" s="13">
        <f t="shared" si="15"/>
        <v>2039</v>
      </c>
      <c r="C102" s="40">
        <f t="shared" ref="C102:H102" si="57">C32+C67</f>
        <v>28679745.887818713</v>
      </c>
      <c r="D102" s="41">
        <f t="shared" si="57"/>
        <v>37222597.214102246</v>
      </c>
      <c r="E102" s="41">
        <f t="shared" si="57"/>
        <v>36567794.314657703</v>
      </c>
      <c r="F102" s="41">
        <f t="shared" si="57"/>
        <v>22353835.63093017</v>
      </c>
      <c r="G102" s="41">
        <f t="shared" si="57"/>
        <v>29416329.84138545</v>
      </c>
      <c r="H102" s="37">
        <f t="shared" si="57"/>
        <v>0</v>
      </c>
      <c r="I102" s="37">
        <f t="shared" si="17"/>
        <v>154240302.88889429</v>
      </c>
      <c r="J102" s="4"/>
      <c r="K102" s="12"/>
      <c r="L102" s="13">
        <f t="shared" si="8"/>
        <v>2039</v>
      </c>
      <c r="M102" s="40">
        <f t="shared" si="53"/>
        <v>62124659.344615258</v>
      </c>
      <c r="N102" s="41">
        <f t="shared" si="53"/>
        <v>67624964.212656081</v>
      </c>
      <c r="O102" s="41">
        <f t="shared" si="53"/>
        <v>64209210.987731099</v>
      </c>
      <c r="P102" s="41">
        <f t="shared" si="53"/>
        <v>48421782.712060206</v>
      </c>
      <c r="Q102" s="41">
        <f t="shared" si="53"/>
        <v>43165304.489565857</v>
      </c>
      <c r="R102" s="37">
        <f t="shared" si="53"/>
        <v>0</v>
      </c>
      <c r="S102" s="37">
        <f t="shared" si="18"/>
        <v>285545921.74662852</v>
      </c>
      <c r="U102" s="12"/>
      <c r="V102" s="13">
        <f t="shared" si="11"/>
        <v>2039</v>
      </c>
      <c r="W102" s="116">
        <f t="shared" si="19"/>
        <v>0.21756451279223626</v>
      </c>
      <c r="X102" s="116">
        <f t="shared" si="20"/>
        <v>0.23682693067023128</v>
      </c>
      <c r="Y102" s="116">
        <f t="shared" si="21"/>
        <v>0.22486474537957299</v>
      </c>
      <c r="Z102" s="116">
        <f t="shared" si="22"/>
        <v>0.16957616629883432</v>
      </c>
      <c r="AA102" s="116">
        <f t="shared" si="23"/>
        <v>0.15116764485912507</v>
      </c>
      <c r="AB102" s="116">
        <f t="shared" si="24"/>
        <v>0</v>
      </c>
      <c r="AC102" s="116">
        <f t="shared" si="25"/>
        <v>1</v>
      </c>
      <c r="AE102" s="12"/>
      <c r="AF102" s="13">
        <f t="shared" si="13"/>
        <v>2039</v>
      </c>
      <c r="AG102" s="37">
        <f t="shared" si="26"/>
        <v>33444913.456796546</v>
      </c>
      <c r="AH102" s="37">
        <f t="shared" si="27"/>
        <v>30402366.998553835</v>
      </c>
      <c r="AI102" s="37">
        <f t="shared" si="28"/>
        <v>27641416.673073396</v>
      </c>
      <c r="AJ102" s="37">
        <f t="shared" si="29"/>
        <v>26067947.081130035</v>
      </c>
      <c r="AK102" s="37">
        <f t="shared" si="30"/>
        <v>13748974.648180407</v>
      </c>
      <c r="AL102" s="37">
        <f t="shared" si="31"/>
        <v>0</v>
      </c>
      <c r="AM102" s="37">
        <f t="shared" si="32"/>
        <v>131305618.85773423</v>
      </c>
    </row>
    <row r="103" spans="1:47">
      <c r="A103" s="12"/>
      <c r="B103" s="13">
        <f t="shared" si="15"/>
        <v>2040</v>
      </c>
      <c r="C103" s="40">
        <f t="shared" ref="C103:H103" si="58">C33+C68</f>
        <v>29390723.49494724</v>
      </c>
      <c r="D103" s="41">
        <f t="shared" si="58"/>
        <v>38129773.997424647</v>
      </c>
      <c r="E103" s="41">
        <f t="shared" si="58"/>
        <v>37437455.770924956</v>
      </c>
      <c r="F103" s="41">
        <f t="shared" si="58"/>
        <v>22893354.826027714</v>
      </c>
      <c r="G103" s="41">
        <f t="shared" si="58"/>
        <v>30157036.918061301</v>
      </c>
      <c r="H103" s="37">
        <f t="shared" si="58"/>
        <v>0</v>
      </c>
      <c r="I103" s="37">
        <f t="shared" si="17"/>
        <v>158008345.00738585</v>
      </c>
      <c r="J103" s="4"/>
      <c r="K103" s="12"/>
      <c r="L103" s="13">
        <f t="shared" si="8"/>
        <v>2040</v>
      </c>
      <c r="M103" s="40">
        <f t="shared" si="53"/>
        <v>63664744.177210286</v>
      </c>
      <c r="N103" s="41">
        <f t="shared" si="53"/>
        <v>69273097.392451704</v>
      </c>
      <c r="O103" s="41">
        <f t="shared" si="53"/>
        <v>65736245.280608267</v>
      </c>
      <c r="P103" s="41">
        <f t="shared" si="53"/>
        <v>49590462.739296854</v>
      </c>
      <c r="Q103" s="41">
        <f t="shared" si="53"/>
        <v>44252212.566633545</v>
      </c>
      <c r="R103" s="37">
        <f t="shared" si="53"/>
        <v>3207344.9360499559</v>
      </c>
      <c r="S103" s="37">
        <f t="shared" si="18"/>
        <v>295724107.09225059</v>
      </c>
      <c r="U103" s="12"/>
      <c r="V103" s="13">
        <f t="shared" si="11"/>
        <v>2040</v>
      </c>
      <c r="W103" s="116">
        <f t="shared" si="19"/>
        <v>0.21528425532569176</v>
      </c>
      <c r="X103" s="116">
        <f t="shared" si="20"/>
        <v>0.23424907111425342</v>
      </c>
      <c r="Y103" s="116">
        <f t="shared" si="21"/>
        <v>0.22228909887316683</v>
      </c>
      <c r="Z103" s="116">
        <f t="shared" si="22"/>
        <v>0.16769164755251828</v>
      </c>
      <c r="AA103" s="116">
        <f t="shared" si="23"/>
        <v>0.14964019336045928</v>
      </c>
      <c r="AB103" s="116">
        <f t="shared" si="24"/>
        <v>1.0845733773910527E-2</v>
      </c>
      <c r="AC103" s="116">
        <f t="shared" si="25"/>
        <v>1</v>
      </c>
      <c r="AE103" s="12"/>
      <c r="AF103" s="13">
        <f t="shared" si="13"/>
        <v>2040</v>
      </c>
      <c r="AG103" s="37">
        <f t="shared" si="26"/>
        <v>34274020.682263047</v>
      </c>
      <c r="AH103" s="37">
        <f t="shared" si="27"/>
        <v>31143323.395027056</v>
      </c>
      <c r="AI103" s="37">
        <f t="shared" si="28"/>
        <v>28298789.509683311</v>
      </c>
      <c r="AJ103" s="37">
        <f t="shared" si="29"/>
        <v>26697107.91326914</v>
      </c>
      <c r="AK103" s="37">
        <f t="shared" si="30"/>
        <v>14095175.648572244</v>
      </c>
      <c r="AL103" s="37">
        <f t="shared" si="31"/>
        <v>3207344.9360499559</v>
      </c>
      <c r="AM103" s="37">
        <f t="shared" si="32"/>
        <v>137715762.08486474</v>
      </c>
    </row>
    <row r="104" spans="1:47">
      <c r="A104" s="12"/>
      <c r="B104" s="13">
        <f t="shared" si="15"/>
        <v>2041</v>
      </c>
      <c r="C104" s="40">
        <f t="shared" ref="C104:H104" si="59">C34+C69</f>
        <v>30120803.427310321</v>
      </c>
      <c r="D104" s="41">
        <f t="shared" si="59"/>
        <v>39061290.523793295</v>
      </c>
      <c r="E104" s="41">
        <f t="shared" si="59"/>
        <v>38330402.574824348</v>
      </c>
      <c r="F104" s="41">
        <f t="shared" si="59"/>
        <v>23447337.711235207</v>
      </c>
      <c r="G104" s="41">
        <f t="shared" si="59"/>
        <v>30917670.111870166</v>
      </c>
      <c r="H104" s="37">
        <f t="shared" si="59"/>
        <v>0</v>
      </c>
      <c r="I104" s="37">
        <f t="shared" si="17"/>
        <v>161877504.34903333</v>
      </c>
      <c r="J104" s="4"/>
      <c r="K104" s="12"/>
      <c r="L104" s="13">
        <f t="shared" si="8"/>
        <v>2041</v>
      </c>
      <c r="M104" s="40">
        <f t="shared" si="53"/>
        <v>65246207.530121669</v>
      </c>
      <c r="N104" s="41">
        <f t="shared" si="53"/>
        <v>70965450.330556497</v>
      </c>
      <c r="O104" s="41">
        <f t="shared" si="53"/>
        <v>67304166.201379076</v>
      </c>
      <c r="P104" s="41">
        <f t="shared" si="53"/>
        <v>50790473.302880004</v>
      </c>
      <c r="Q104" s="41">
        <f t="shared" si="53"/>
        <v>45368360.08036717</v>
      </c>
      <c r="R104" s="37">
        <f t="shared" si="53"/>
        <v>3286726.9166166708</v>
      </c>
      <c r="S104" s="37">
        <f t="shared" si="18"/>
        <v>302961384.36192107</v>
      </c>
      <c r="U104" s="12"/>
      <c r="V104" s="13">
        <f t="shared" si="11"/>
        <v>2041</v>
      </c>
      <c r="W104" s="116">
        <f t="shared" si="19"/>
        <v>0.21536146485315044</v>
      </c>
      <c r="X104" s="116">
        <f t="shared" si="20"/>
        <v>0.23423925950173363</v>
      </c>
      <c r="Y104" s="116">
        <f t="shared" si="21"/>
        <v>0.22215427336764729</v>
      </c>
      <c r="Z104" s="116">
        <f t="shared" si="22"/>
        <v>0.16764669005540697</v>
      </c>
      <c r="AA104" s="116">
        <f t="shared" si="23"/>
        <v>0.14974964606766392</v>
      </c>
      <c r="AB104" s="116">
        <f t="shared" si="24"/>
        <v>1.0848666154397783E-2</v>
      </c>
      <c r="AC104" s="116">
        <f t="shared" si="25"/>
        <v>1</v>
      </c>
      <c r="AE104" s="12"/>
      <c r="AF104" s="13">
        <f t="shared" si="13"/>
        <v>2041</v>
      </c>
      <c r="AG104" s="37">
        <f t="shared" si="26"/>
        <v>35125404.102811351</v>
      </c>
      <c r="AH104" s="37">
        <f t="shared" si="27"/>
        <v>31904159.806763202</v>
      </c>
      <c r="AI104" s="37">
        <f t="shared" si="28"/>
        <v>28973763.626554728</v>
      </c>
      <c r="AJ104" s="37">
        <f t="shared" si="29"/>
        <v>27343135.591644797</v>
      </c>
      <c r="AK104" s="37">
        <f t="shared" si="30"/>
        <v>14450689.968497004</v>
      </c>
      <c r="AL104" s="37">
        <f t="shared" si="31"/>
        <v>3286726.9166166708</v>
      </c>
      <c r="AM104" s="37">
        <f t="shared" si="32"/>
        <v>141083880.01288775</v>
      </c>
    </row>
    <row r="105" spans="1:47">
      <c r="A105" s="12"/>
      <c r="B105" s="13">
        <f t="shared" si="15"/>
        <v>2042</v>
      </c>
      <c r="C105" s="40">
        <f t="shared" ref="C105:H105" si="60">C35+C70</f>
        <v>30870502.143567476</v>
      </c>
      <c r="D105" s="41">
        <f t="shared" si="60"/>
        <v>40017804.784479678</v>
      </c>
      <c r="E105" s="41">
        <f t="shared" si="60"/>
        <v>39247264.117019802</v>
      </c>
      <c r="F105" s="41">
        <f t="shared" si="60"/>
        <v>24016175.268761892</v>
      </c>
      <c r="G105" s="41">
        <f t="shared" si="60"/>
        <v>31698768.204261906</v>
      </c>
      <c r="H105" s="37">
        <f t="shared" si="60"/>
        <v>0</v>
      </c>
      <c r="I105" s="37">
        <f t="shared" si="17"/>
        <v>165850514.51809075</v>
      </c>
      <c r="J105" s="4"/>
      <c r="K105" s="12"/>
      <c r="L105" s="13">
        <f t="shared" si="8"/>
        <v>2042</v>
      </c>
      <c r="M105" s="40">
        <f t="shared" si="53"/>
        <v>66870168.130775146</v>
      </c>
      <c r="N105" s="41">
        <f t="shared" si="53"/>
        <v>72703218.446944296</v>
      </c>
      <c r="O105" s="41">
        <f t="shared" si="53"/>
        <v>68914078.894028589</v>
      </c>
      <c r="P105" s="41">
        <f t="shared" si="53"/>
        <v>52022661.329301044</v>
      </c>
      <c r="Q105" s="41">
        <f t="shared" si="53"/>
        <v>46514537.634674892</v>
      </c>
      <c r="R105" s="37">
        <f t="shared" si="53"/>
        <v>3368241.4263578076</v>
      </c>
      <c r="S105" s="37">
        <f t="shared" si="18"/>
        <v>310392905.86208183</v>
      </c>
      <c r="U105" s="12"/>
      <c r="V105" s="13">
        <f t="shared" si="11"/>
        <v>2042</v>
      </c>
      <c r="W105" s="116">
        <f t="shared" si="19"/>
        <v>0.21543716646825636</v>
      </c>
      <c r="X105" s="116">
        <f t="shared" si="20"/>
        <v>0.23422963951131287</v>
      </c>
      <c r="Y105" s="116">
        <f t="shared" si="21"/>
        <v>0.22202208102220439</v>
      </c>
      <c r="Z105" s="116">
        <f t="shared" si="22"/>
        <v>0.16760261058420095</v>
      </c>
      <c r="AA105" s="116">
        <f t="shared" si="23"/>
        <v>0.14985696114892166</v>
      </c>
      <c r="AB105" s="116">
        <f t="shared" si="24"/>
        <v>1.0851541265103631E-2</v>
      </c>
      <c r="AC105" s="116">
        <f t="shared" si="25"/>
        <v>1</v>
      </c>
      <c r="AE105" s="12"/>
      <c r="AF105" s="13">
        <f t="shared" si="13"/>
        <v>2042</v>
      </c>
      <c r="AG105" s="37">
        <f t="shared" si="26"/>
        <v>35999665.987207666</v>
      </c>
      <c r="AH105" s="37">
        <f t="shared" si="27"/>
        <v>32685413.662464619</v>
      </c>
      <c r="AI105" s="37">
        <f t="shared" si="28"/>
        <v>29666814.777008787</v>
      </c>
      <c r="AJ105" s="37">
        <f t="shared" si="29"/>
        <v>28006486.060539152</v>
      </c>
      <c r="AK105" s="37">
        <f t="shared" si="30"/>
        <v>14815769.430412985</v>
      </c>
      <c r="AL105" s="37">
        <f t="shared" si="31"/>
        <v>3368241.4263578076</v>
      </c>
      <c r="AM105" s="37">
        <f t="shared" si="32"/>
        <v>144542391.34399107</v>
      </c>
    </row>
    <row r="106" spans="1:47">
      <c r="A106" s="12"/>
      <c r="B106" s="13">
        <f t="shared" si="15"/>
        <v>2043</v>
      </c>
      <c r="C106" s="40">
        <f t="shared" ref="C106:H106" si="61">C36+C71</f>
        <v>31640350.072066475</v>
      </c>
      <c r="D106" s="41">
        <f t="shared" si="61"/>
        <v>40999992.568621665</v>
      </c>
      <c r="E106" s="41">
        <f t="shared" si="61"/>
        <v>40188686.812236741</v>
      </c>
      <c r="F106" s="41">
        <f t="shared" si="61"/>
        <v>24600269.056364551</v>
      </c>
      <c r="G106" s="41">
        <f t="shared" si="61"/>
        <v>32500884.550284579</v>
      </c>
      <c r="H106" s="37">
        <f t="shared" si="61"/>
        <v>0</v>
      </c>
      <c r="I106" s="37">
        <f t="shared" si="17"/>
        <v>169930183.05957401</v>
      </c>
      <c r="J106" s="4"/>
      <c r="K106" s="12"/>
      <c r="L106" s="13">
        <f t="shared" si="8"/>
        <v>2043</v>
      </c>
      <c r="M106" s="40">
        <f t="shared" si="53"/>
        <v>68537774.96705021</v>
      </c>
      <c r="N106" s="41">
        <f t="shared" si="53"/>
        <v>74487629.496250272</v>
      </c>
      <c r="O106" s="41">
        <f t="shared" si="53"/>
        <v>70567118.395008102</v>
      </c>
      <c r="P106" s="41">
        <f t="shared" si="53"/>
        <v>53287896.653283924</v>
      </c>
      <c r="Q106" s="41">
        <f t="shared" si="53"/>
        <v>47691557.218654923</v>
      </c>
      <c r="R106" s="37">
        <f t="shared" si="53"/>
        <v>3451946.1206807359</v>
      </c>
      <c r="S106" s="37">
        <f t="shared" si="18"/>
        <v>318023922.85092813</v>
      </c>
      <c r="U106" s="12"/>
      <c r="V106" s="13">
        <f t="shared" si="11"/>
        <v>2043</v>
      </c>
      <c r="W106" s="116">
        <f t="shared" si="19"/>
        <v>0.21551138151068244</v>
      </c>
      <c r="X106" s="116">
        <f t="shared" si="20"/>
        <v>0.23422020843119376</v>
      </c>
      <c r="Y106" s="116">
        <f t="shared" si="21"/>
        <v>0.22189248457288552</v>
      </c>
      <c r="Z106" s="116">
        <f t="shared" si="22"/>
        <v>0.16755939671325393</v>
      </c>
      <c r="AA106" s="116">
        <f t="shared" si="23"/>
        <v>0.14996216885548597</v>
      </c>
      <c r="AB106" s="116">
        <f t="shared" si="24"/>
        <v>1.0854359916498533E-2</v>
      </c>
      <c r="AC106" s="116">
        <f t="shared" si="25"/>
        <v>1</v>
      </c>
      <c r="AE106" s="12"/>
      <c r="AF106" s="13">
        <f t="shared" si="13"/>
        <v>2043</v>
      </c>
      <c r="AG106" s="37">
        <f t="shared" si="26"/>
        <v>36897424.894983739</v>
      </c>
      <c r="AH106" s="37">
        <f t="shared" si="27"/>
        <v>33487636.927628607</v>
      </c>
      <c r="AI106" s="37">
        <f t="shared" si="28"/>
        <v>30378431.582771361</v>
      </c>
      <c r="AJ106" s="37">
        <f t="shared" si="29"/>
        <v>28687627.596919373</v>
      </c>
      <c r="AK106" s="37">
        <f t="shared" si="30"/>
        <v>15190672.668370344</v>
      </c>
      <c r="AL106" s="37">
        <f t="shared" si="31"/>
        <v>3451946.1206807359</v>
      </c>
      <c r="AM106" s="37">
        <f t="shared" si="32"/>
        <v>148093739.79135412</v>
      </c>
    </row>
    <row r="107" spans="1:47">
      <c r="A107" s="43"/>
      <c r="B107" s="13">
        <f t="shared" si="15"/>
        <v>2044</v>
      </c>
      <c r="C107" s="44">
        <f t="shared" ref="C107:H107" si="62">C37+C72</f>
        <v>32430891.98872241</v>
      </c>
      <c r="D107" s="45">
        <f t="shared" si="62"/>
        <v>42008547.944654144</v>
      </c>
      <c r="E107" s="45">
        <f t="shared" si="62"/>
        <v>41155334.559761003</v>
      </c>
      <c r="F107" s="45">
        <f t="shared" si="62"/>
        <v>25200031.493415024</v>
      </c>
      <c r="G107" s="45">
        <f t="shared" si="62"/>
        <v>33324587.472799357</v>
      </c>
      <c r="H107" s="37">
        <f t="shared" si="62"/>
        <v>0</v>
      </c>
      <c r="I107" s="37">
        <f t="shared" si="17"/>
        <v>174119393.45935193</v>
      </c>
      <c r="J107" s="4"/>
      <c r="K107" s="43"/>
      <c r="L107" s="13">
        <f t="shared" si="8"/>
        <v>2044</v>
      </c>
      <c r="M107" s="44">
        <f t="shared" si="53"/>
        <v>70250208.105823204</v>
      </c>
      <c r="N107" s="45">
        <f t="shared" si="53"/>
        <v>76319944.442420602</v>
      </c>
      <c r="O107" s="45">
        <f t="shared" si="53"/>
        <v>72264450.441822886</v>
      </c>
      <c r="P107" s="45">
        <f t="shared" si="53"/>
        <v>54587072.637450591</v>
      </c>
      <c r="Q107" s="45">
        <f t="shared" si="53"/>
        <v>48900252.785063528</v>
      </c>
      <c r="R107" s="37">
        <f t="shared" si="53"/>
        <v>3537900.2145125796</v>
      </c>
      <c r="S107" s="37">
        <f t="shared" si="18"/>
        <v>325859828.62709337</v>
      </c>
      <c r="U107" s="43"/>
      <c r="V107" s="13">
        <f t="shared" si="11"/>
        <v>2044</v>
      </c>
      <c r="W107" s="116">
        <f t="shared" si="19"/>
        <v>0.2155841313788204</v>
      </c>
      <c r="X107" s="116">
        <f t="shared" si="20"/>
        <v>0.23421096354211682</v>
      </c>
      <c r="Y107" s="116">
        <f t="shared" si="21"/>
        <v>0.22176544665320097</v>
      </c>
      <c r="Z107" s="116">
        <f t="shared" si="22"/>
        <v>0.16751703598272866</v>
      </c>
      <c r="AA107" s="116">
        <f t="shared" si="23"/>
        <v>0.15006529952185016</v>
      </c>
      <c r="AB107" s="116">
        <f t="shared" si="24"/>
        <v>1.0857122921283043E-2</v>
      </c>
      <c r="AC107" s="116">
        <f t="shared" si="25"/>
        <v>1</v>
      </c>
      <c r="AE107" s="43"/>
      <c r="AF107" s="13">
        <f t="shared" si="13"/>
        <v>2044</v>
      </c>
      <c r="AG107" s="37">
        <f t="shared" si="26"/>
        <v>37819316.11710079</v>
      </c>
      <c r="AH107" s="37">
        <f t="shared" si="27"/>
        <v>34311396.497766457</v>
      </c>
      <c r="AI107" s="37">
        <f t="shared" si="28"/>
        <v>31109115.882061884</v>
      </c>
      <c r="AJ107" s="37">
        <f t="shared" si="29"/>
        <v>29387041.144035567</v>
      </c>
      <c r="AK107" s="37">
        <f t="shared" si="30"/>
        <v>15575665.31226417</v>
      </c>
      <c r="AL107" s="37">
        <f t="shared" si="31"/>
        <v>3537900.2145125796</v>
      </c>
      <c r="AM107" s="37">
        <f t="shared" si="32"/>
        <v>151740435.16774145</v>
      </c>
    </row>
    <row r="109" spans="1:47" s="2" customFormat="1" ht="18" customHeight="1">
      <c r="A109" s="1" t="s">
        <v>131</v>
      </c>
      <c r="E109" s="3"/>
    </row>
    <row r="110" spans="1:47" s="4" customFormat="1" ht="10.5"/>
    <row r="111" spans="1:47" s="4" customFormat="1" ht="10.5">
      <c r="A111" s="150" t="s">
        <v>189</v>
      </c>
      <c r="B111" s="172"/>
      <c r="C111" s="172"/>
      <c r="D111" s="172"/>
      <c r="E111" s="172"/>
      <c r="F111" s="172"/>
      <c r="G111" s="173"/>
      <c r="I111" s="150" t="s">
        <v>190</v>
      </c>
      <c r="J111" s="172"/>
      <c r="K111" s="172"/>
      <c r="L111" s="172"/>
      <c r="M111" s="172"/>
      <c r="N111" s="172"/>
      <c r="O111" s="173"/>
      <c r="Q111" s="150" t="s">
        <v>191</v>
      </c>
      <c r="R111" s="172"/>
      <c r="S111" s="172"/>
      <c r="T111" s="172"/>
      <c r="U111" s="172"/>
      <c r="V111" s="172"/>
      <c r="W111" s="173"/>
      <c r="Y111" s="150" t="s">
        <v>192</v>
      </c>
      <c r="Z111" s="172"/>
      <c r="AA111" s="172"/>
      <c r="AB111" s="172"/>
      <c r="AC111" s="172"/>
      <c r="AD111" s="172"/>
      <c r="AE111" s="173"/>
      <c r="AG111" s="150" t="s">
        <v>193</v>
      </c>
      <c r="AH111" s="172"/>
      <c r="AI111" s="172"/>
      <c r="AJ111" s="172"/>
      <c r="AK111" s="172"/>
      <c r="AL111" s="172"/>
      <c r="AM111" s="173"/>
      <c r="AO111" s="150" t="s">
        <v>309</v>
      </c>
      <c r="AP111" s="172"/>
      <c r="AQ111" s="172"/>
      <c r="AR111" s="172"/>
      <c r="AS111" s="172"/>
      <c r="AT111" s="172"/>
      <c r="AU111" s="173"/>
    </row>
    <row r="112" spans="1:47" s="4" customFormat="1" ht="10.5">
      <c r="A112" s="134" t="s">
        <v>5</v>
      </c>
      <c r="B112" s="134"/>
      <c r="C112" s="6">
        <v>1</v>
      </c>
      <c r="D112" s="6">
        <v>2</v>
      </c>
      <c r="E112" s="6">
        <v>3</v>
      </c>
      <c r="F112" s="6">
        <v>3</v>
      </c>
      <c r="G112" s="6">
        <v>4</v>
      </c>
      <c r="I112" s="134" t="s">
        <v>5</v>
      </c>
      <c r="J112" s="134"/>
      <c r="K112" s="6">
        <v>1</v>
      </c>
      <c r="L112" s="6">
        <v>2</v>
      </c>
      <c r="M112" s="6">
        <v>3</v>
      </c>
      <c r="N112" s="6">
        <v>3</v>
      </c>
      <c r="O112" s="6">
        <v>4</v>
      </c>
      <c r="Q112" s="134" t="s">
        <v>5</v>
      </c>
      <c r="R112" s="134"/>
      <c r="S112" s="6">
        <v>1</v>
      </c>
      <c r="T112" s="6">
        <v>2</v>
      </c>
      <c r="U112" s="6">
        <v>3</v>
      </c>
      <c r="V112" s="6">
        <v>3</v>
      </c>
      <c r="W112" s="6">
        <v>4</v>
      </c>
      <c r="Y112" s="134" t="s">
        <v>5</v>
      </c>
      <c r="Z112" s="134"/>
      <c r="AA112" s="6">
        <v>1</v>
      </c>
      <c r="AB112" s="6">
        <v>2</v>
      </c>
      <c r="AC112" s="6">
        <v>3</v>
      </c>
      <c r="AD112" s="6">
        <v>3</v>
      </c>
      <c r="AE112" s="6">
        <v>4</v>
      </c>
      <c r="AG112" s="134" t="s">
        <v>5</v>
      </c>
      <c r="AH112" s="134"/>
      <c r="AI112" s="6">
        <v>1</v>
      </c>
      <c r="AJ112" s="6">
        <v>2</v>
      </c>
      <c r="AK112" s="6">
        <v>3</v>
      </c>
      <c r="AL112" s="6">
        <v>3</v>
      </c>
      <c r="AM112" s="6">
        <v>4</v>
      </c>
      <c r="AO112" s="134" t="s">
        <v>5</v>
      </c>
      <c r="AP112" s="134"/>
      <c r="AQ112" s="6">
        <v>1</v>
      </c>
      <c r="AR112" s="6">
        <v>2</v>
      </c>
      <c r="AS112" s="6">
        <v>3</v>
      </c>
      <c r="AT112" s="6">
        <v>3</v>
      </c>
      <c r="AU112" s="6">
        <v>4</v>
      </c>
    </row>
    <row r="113" spans="1:54" s="4" customFormat="1" ht="52.5">
      <c r="A113" s="134" t="s">
        <v>6</v>
      </c>
      <c r="B113" s="134"/>
      <c r="C113" s="35" t="s">
        <v>151</v>
      </c>
      <c r="D113" s="35" t="s">
        <v>152</v>
      </c>
      <c r="E113" s="35" t="s">
        <v>153</v>
      </c>
      <c r="F113" s="35" t="s">
        <v>154</v>
      </c>
      <c r="G113" s="35" t="s">
        <v>155</v>
      </c>
      <c r="I113" s="134" t="s">
        <v>6</v>
      </c>
      <c r="J113" s="134"/>
      <c r="K113" s="35" t="s">
        <v>151</v>
      </c>
      <c r="L113" s="35" t="s">
        <v>152</v>
      </c>
      <c r="M113" s="35" t="s">
        <v>153</v>
      </c>
      <c r="N113" s="35" t="s">
        <v>154</v>
      </c>
      <c r="O113" s="35" t="s">
        <v>155</v>
      </c>
      <c r="Q113" s="134" t="s">
        <v>6</v>
      </c>
      <c r="R113" s="134"/>
      <c r="S113" s="35" t="s">
        <v>151</v>
      </c>
      <c r="T113" s="35" t="s">
        <v>152</v>
      </c>
      <c r="U113" s="35" t="s">
        <v>153</v>
      </c>
      <c r="V113" s="35" t="s">
        <v>154</v>
      </c>
      <c r="W113" s="35" t="s">
        <v>155</v>
      </c>
      <c r="Y113" s="134" t="s">
        <v>6</v>
      </c>
      <c r="Z113" s="134"/>
      <c r="AA113" s="35" t="s">
        <v>151</v>
      </c>
      <c r="AB113" s="35" t="s">
        <v>152</v>
      </c>
      <c r="AC113" s="35" t="s">
        <v>153</v>
      </c>
      <c r="AD113" s="35" t="s">
        <v>154</v>
      </c>
      <c r="AE113" s="35" t="s">
        <v>155</v>
      </c>
      <c r="AG113" s="134" t="s">
        <v>6</v>
      </c>
      <c r="AH113" s="134"/>
      <c r="AI113" s="35" t="s">
        <v>151</v>
      </c>
      <c r="AJ113" s="35" t="s">
        <v>152</v>
      </c>
      <c r="AK113" s="35" t="s">
        <v>153</v>
      </c>
      <c r="AL113" s="35" t="s">
        <v>154</v>
      </c>
      <c r="AM113" s="35" t="s">
        <v>155</v>
      </c>
      <c r="AO113" s="134" t="s">
        <v>6</v>
      </c>
      <c r="AP113" s="134"/>
      <c r="AQ113" s="35" t="s">
        <v>151</v>
      </c>
      <c r="AR113" s="35" t="s">
        <v>152</v>
      </c>
      <c r="AS113" s="35" t="s">
        <v>153</v>
      </c>
      <c r="AT113" s="35" t="s">
        <v>154</v>
      </c>
      <c r="AU113" s="35" t="s">
        <v>155</v>
      </c>
      <c r="AW113" s="128" t="s">
        <v>189</v>
      </c>
      <c r="AX113" s="128" t="s">
        <v>190</v>
      </c>
      <c r="AY113" s="128" t="s">
        <v>191</v>
      </c>
      <c r="AZ113" s="128" t="s">
        <v>192</v>
      </c>
      <c r="BA113" s="128" t="s">
        <v>193</v>
      </c>
      <c r="BB113" s="128" t="s">
        <v>309</v>
      </c>
    </row>
    <row r="114" spans="1:54" s="4" customFormat="1" ht="21">
      <c r="A114" s="8"/>
      <c r="B114" s="9" t="s">
        <v>22</v>
      </c>
      <c r="C114" s="36" t="s">
        <v>28</v>
      </c>
      <c r="D114" s="36" t="s">
        <v>156</v>
      </c>
      <c r="E114" s="36" t="s">
        <v>156</v>
      </c>
      <c r="F114" s="36" t="s">
        <v>156</v>
      </c>
      <c r="G114" s="36" t="s">
        <v>28</v>
      </c>
      <c r="I114" s="8"/>
      <c r="J114" s="9" t="s">
        <v>22</v>
      </c>
      <c r="K114" s="36" t="s">
        <v>28</v>
      </c>
      <c r="L114" s="36" t="s">
        <v>156</v>
      </c>
      <c r="M114" s="36" t="s">
        <v>156</v>
      </c>
      <c r="N114" s="36" t="s">
        <v>156</v>
      </c>
      <c r="O114" s="36" t="s">
        <v>28</v>
      </c>
      <c r="Q114" s="8"/>
      <c r="R114" s="9" t="s">
        <v>22</v>
      </c>
      <c r="S114" s="36" t="s">
        <v>28</v>
      </c>
      <c r="T114" s="36" t="s">
        <v>156</v>
      </c>
      <c r="U114" s="36" t="s">
        <v>156</v>
      </c>
      <c r="V114" s="36" t="s">
        <v>156</v>
      </c>
      <c r="W114" s="36" t="s">
        <v>28</v>
      </c>
      <c r="Y114" s="8"/>
      <c r="Z114" s="9" t="s">
        <v>22</v>
      </c>
      <c r="AA114" s="36" t="s">
        <v>28</v>
      </c>
      <c r="AB114" s="36" t="s">
        <v>156</v>
      </c>
      <c r="AC114" s="36" t="s">
        <v>156</v>
      </c>
      <c r="AD114" s="36" t="s">
        <v>156</v>
      </c>
      <c r="AE114" s="36" t="s">
        <v>28</v>
      </c>
      <c r="AG114" s="8"/>
      <c r="AH114" s="9" t="s">
        <v>22</v>
      </c>
      <c r="AI114" s="36" t="s">
        <v>28</v>
      </c>
      <c r="AJ114" s="36" t="s">
        <v>156</v>
      </c>
      <c r="AK114" s="36" t="s">
        <v>156</v>
      </c>
      <c r="AL114" s="36" t="s">
        <v>156</v>
      </c>
      <c r="AM114" s="36" t="s">
        <v>28</v>
      </c>
      <c r="AO114" s="8"/>
      <c r="AP114" s="9" t="s">
        <v>22</v>
      </c>
      <c r="AQ114" s="36" t="s">
        <v>28</v>
      </c>
      <c r="AR114" s="36" t="s">
        <v>156</v>
      </c>
      <c r="AS114" s="36" t="s">
        <v>156</v>
      </c>
      <c r="AT114" s="36" t="s">
        <v>156</v>
      </c>
      <c r="AU114" s="36" t="s">
        <v>28</v>
      </c>
      <c r="AW114" s="128"/>
      <c r="AX114" s="128"/>
      <c r="AY114" s="128"/>
      <c r="AZ114" s="128"/>
      <c r="BA114" s="128"/>
      <c r="BB114" s="128"/>
    </row>
    <row r="115" spans="1:54" s="4" customFormat="1" ht="10.5">
      <c r="A115" s="12"/>
      <c r="B115" s="13">
        <f>B43</f>
        <v>2015</v>
      </c>
      <c r="C115" s="73">
        <f ca="1">Zalozenia!$I526</f>
        <v>36.929000000000002</v>
      </c>
      <c r="D115" s="19">
        <f ca="1">(Zalozenia!$U316-Zalozenia!$U423)*Zalozenia!$AD388</f>
        <v>6877.3879440000146</v>
      </c>
      <c r="E115" s="19">
        <f ca="1">Zalozenia!$U388*(Zalozenia!$U316-Zalozenia!$U423)/2</f>
        <v>29.000160000000065</v>
      </c>
      <c r="F115" s="19">
        <f ca="1">(Zalozenia!$L316-Zalozenia!$C423)*Zalozenia!$L388</f>
        <v>-3933.1466999999993</v>
      </c>
      <c r="G115" s="74">
        <f>C115*(D115+E115+F115)</f>
        <v>109798.83180831659</v>
      </c>
      <c r="I115" s="12"/>
      <c r="J115" s="13">
        <f t="shared" ref="J115:J144" si="63">B115</f>
        <v>2015</v>
      </c>
      <c r="K115" s="73">
        <f ca="1">Zalozenia!$I526</f>
        <v>36.929000000000002</v>
      </c>
      <c r="L115" s="19">
        <f ca="1">(Zalozenia!$V316-Zalozenia!$V423)*Zalozenia!$AE388</f>
        <v>27415.298879999991</v>
      </c>
      <c r="M115" s="19">
        <f ca="1">Zalozenia!$V388*(Zalozenia!$V316-Zalozenia!$V423)/2</f>
        <v>115.60319999999997</v>
      </c>
      <c r="N115" s="19">
        <f ca="1">(Zalozenia!$M316-Zalozenia!$D423)*Zalozenia!$M388</f>
        <v>-15678.683999999999</v>
      </c>
      <c r="O115" s="74">
        <f>K115*(L115+M115+N115)</f>
        <v>437690.5614763198</v>
      </c>
      <c r="Q115" s="12"/>
      <c r="R115" s="13">
        <f t="shared" ref="R115:R144" si="64">J115</f>
        <v>2015</v>
      </c>
      <c r="S115" s="73">
        <f ca="1">Zalozenia!$I526</f>
        <v>36.929000000000002</v>
      </c>
      <c r="T115" s="19">
        <f ca="1">(Zalozenia!$W316-Zalozenia!$W423)*Zalozenia!$AF388</f>
        <v>14075.554463999993</v>
      </c>
      <c r="U115" s="19">
        <f ca="1">Zalozenia!$W388*(Zalozenia!$W316-Zalozenia!$W423)/2</f>
        <v>59.352959999999968</v>
      </c>
      <c r="V115" s="19">
        <f ca="1">(Zalozenia!$N316-Zalozenia!$E423)*Zalozenia!$N388</f>
        <v>-8049.7451999999985</v>
      </c>
      <c r="W115" s="74">
        <f>S115*(T115+U115+V115)</f>
        <v>224718.95577009584</v>
      </c>
      <c r="Y115" s="12"/>
      <c r="Z115" s="13">
        <f t="shared" ref="Z115:Z144" si="65">R115</f>
        <v>2015</v>
      </c>
      <c r="AA115" s="73">
        <f ca="1">Zalozenia!$I526</f>
        <v>36.929000000000002</v>
      </c>
      <c r="AB115" s="19">
        <f ca="1">(Zalozenia!$X316-Zalozenia!$X423)*Zalozenia!$AG388</f>
        <v>14674.595364000055</v>
      </c>
      <c r="AC115" s="19">
        <f ca="1">Zalozenia!$X388*(Zalozenia!$X316-Zalozenia!$X423)/2</f>
        <v>61.878960000000227</v>
      </c>
      <c r="AD115" s="19">
        <f ca="1">(Zalozenia!$O316-Zalozenia!$F423)*Zalozenia!$O388</f>
        <v>-8392.333950000002</v>
      </c>
      <c r="AE115" s="74">
        <f>AA115*(AB115+AC115+AD115)</f>
        <v>234282.75987144798</v>
      </c>
      <c r="AG115" s="12"/>
      <c r="AH115" s="13">
        <f t="shared" ref="AH115:AH144" si="66">Z115</f>
        <v>2015</v>
      </c>
      <c r="AI115" s="73">
        <f ca="1">Zalozenia!$I526</f>
        <v>36.929000000000002</v>
      </c>
      <c r="AJ115" s="19">
        <f ca="1">(Zalozenia!$Y316-Zalozenia!$Y423)*Zalozenia!$AH388</f>
        <v>17817.895295999995</v>
      </c>
      <c r="AK115" s="19">
        <f ca="1">Zalozenia!$Y388*(Zalozenia!$Y316-Zalozenia!$Y423)/2</f>
        <v>75.133439999999979</v>
      </c>
      <c r="AL115" s="19">
        <f ca="1">(Zalozenia!$P316-Zalozenia!$G423)*Zalozenia!$P388</f>
        <v>-10189.9728</v>
      </c>
      <c r="AM115" s="74">
        <f>AI115*(AJ115+AK115+AL115)</f>
        <v>284466.15266054391</v>
      </c>
      <c r="AO115" s="12"/>
      <c r="AP115" s="13">
        <f t="shared" ref="AP115:AP144" si="67">AH115</f>
        <v>2015</v>
      </c>
      <c r="AQ115" s="73">
        <f ca="1">Zalozenia!$I526</f>
        <v>36.929000000000002</v>
      </c>
      <c r="AR115" s="19">
        <f ca="1">(Zalozenia!$Z316-Zalozenia!$Z423)*Zalozenia!$AI388</f>
        <v>0</v>
      </c>
      <c r="AS115" s="19">
        <f ca="1">Zalozenia!$Z388*(Zalozenia!$Z316-Zalozenia!$Z423)/2</f>
        <v>0</v>
      </c>
      <c r="AT115" s="19">
        <f ca="1">(Zalozenia!$Q316-Zalozenia!$H423)*Zalozenia!$Q388</f>
        <v>0</v>
      </c>
      <c r="AU115" s="74">
        <f>AQ115*(AR115+AS115+AT115)</f>
        <v>0</v>
      </c>
      <c r="AW115" s="131">
        <f>G115</f>
        <v>109798.83180831659</v>
      </c>
      <c r="AX115" s="131">
        <f>O115</f>
        <v>437690.5614763198</v>
      </c>
      <c r="AY115" s="131">
        <f>W115</f>
        <v>224718.95577009584</v>
      </c>
      <c r="AZ115" s="131">
        <f>AE115</f>
        <v>234282.75987144798</v>
      </c>
      <c r="BA115" s="131">
        <f>AM115</f>
        <v>284466.15266054391</v>
      </c>
      <c r="BB115" s="131">
        <f>AU115</f>
        <v>0</v>
      </c>
    </row>
    <row r="116" spans="1:54" s="4" customFormat="1" ht="10.5">
      <c r="A116" s="12"/>
      <c r="B116" s="13">
        <f t="shared" ref="B116:B144" si="68">B44</f>
        <v>2016</v>
      </c>
      <c r="C116" s="73">
        <f ca="1">Zalozenia!$I527</f>
        <v>38.464999999999996</v>
      </c>
      <c r="D116" s="19">
        <f ca="1">(Zalozenia!U317-Zalozenia!U424)*Zalozenia!AD389</f>
        <v>6987.5887032000164</v>
      </c>
      <c r="E116" s="19">
        <f ca="1">Zalozenia!U389*(Zalozenia!U317-Zalozenia!U424)/2</f>
        <v>29.464848000000067</v>
      </c>
      <c r="F116" s="19">
        <f ca="1">(Zalozenia!L317-Zalozenia!C424)*Zalozenia!L389</f>
        <v>-3996.1700099999994</v>
      </c>
      <c r="G116" s="74">
        <f t="shared" ref="G116:G144" si="69">C116*(D116+E116+F116)</f>
        <v>116198.28541225863</v>
      </c>
      <c r="I116" s="12"/>
      <c r="J116" s="13">
        <f t="shared" si="63"/>
        <v>2016</v>
      </c>
      <c r="K116" s="73">
        <f ca="1">Zalozenia!$I527</f>
        <v>38.464999999999996</v>
      </c>
      <c r="L116" s="19">
        <f ca="1">(Zalozenia!$V317-Zalozenia!$V424)*Zalozenia!$AE389</f>
        <v>27859.243679999992</v>
      </c>
      <c r="M116" s="19">
        <f ca="1">Zalozenia!$V389*(Zalozenia!$V317-Zalozenia!$V424)/2</f>
        <v>117.47519999999997</v>
      </c>
      <c r="N116" s="19">
        <f ca="1">(Zalozenia!$M317-Zalozenia!$D424)*Zalozenia!$M389</f>
        <v>-15932.574000000001</v>
      </c>
      <c r="O116" s="74">
        <f t="shared" ref="O116:O144" si="70">K116*(L116+M116+N116)</f>
        <v>463278.03280919965</v>
      </c>
      <c r="Q116" s="12"/>
      <c r="R116" s="13">
        <f t="shared" si="64"/>
        <v>2016</v>
      </c>
      <c r="S116" s="73">
        <f ca="1">Zalozenia!$I527</f>
        <v>38.464999999999996</v>
      </c>
      <c r="T116" s="19">
        <f ca="1">(Zalozenia!$W317-Zalozenia!$W424)*Zalozenia!$AF389</f>
        <v>14244.469768799994</v>
      </c>
      <c r="U116" s="19">
        <f ca="1">Zalozenia!$W389*(Zalozenia!$W317-Zalozenia!$W424)/2</f>
        <v>60.065231999999973</v>
      </c>
      <c r="V116" s="19">
        <f ca="1">(Zalozenia!$N317-Zalozenia!$E424)*Zalozenia!$N389</f>
        <v>-8146.3470899999975</v>
      </c>
      <c r="W116" s="74">
        <f t="shared" ref="W116:W144" si="71">S116*(T116+U116+V116)</f>
        <v>236874.69798892189</v>
      </c>
      <c r="Y116" s="12"/>
      <c r="Z116" s="13">
        <f t="shared" si="65"/>
        <v>2016</v>
      </c>
      <c r="AA116" s="73">
        <f ca="1">Zalozenia!$I527</f>
        <v>38.464999999999996</v>
      </c>
      <c r="AB116" s="19">
        <f ca="1">(Zalozenia!$X317-Zalozenia!$X424)*Zalozenia!$AG389</f>
        <v>14917.877114400057</v>
      </c>
      <c r="AC116" s="19">
        <f ca="1">Zalozenia!$X389*(Zalozenia!$X317-Zalozenia!$X424)/2</f>
        <v>62.904816000000238</v>
      </c>
      <c r="AD116" s="19">
        <f ca="1">(Zalozenia!$O317-Zalozenia!$F424)*Zalozenia!$O389</f>
        <v>-8531.4656700000032</v>
      </c>
      <c r="AE116" s="74">
        <f t="shared" ref="AE116:AE144" si="72">AA116*(AB116+AC116+AD116)</f>
        <v>248072.94995628804</v>
      </c>
      <c r="AG116" s="12"/>
      <c r="AH116" s="13">
        <f t="shared" si="66"/>
        <v>2016</v>
      </c>
      <c r="AI116" s="73">
        <f ca="1">Zalozenia!$I527</f>
        <v>38.464999999999996</v>
      </c>
      <c r="AJ116" s="19">
        <f ca="1">(Zalozenia!$Y317-Zalozenia!$Y424)*Zalozenia!$AH389</f>
        <v>18030.988799999996</v>
      </c>
      <c r="AK116" s="19">
        <f ca="1">Zalozenia!$Y389*(Zalozenia!$Y317-Zalozenia!$Y424)/2</f>
        <v>76.031999999999982</v>
      </c>
      <c r="AL116" s="19">
        <f ca="1">(Zalozenia!$P317-Zalozenia!$G424)*Zalozenia!$P389</f>
        <v>-10311.84</v>
      </c>
      <c r="AM116" s="74">
        <f t="shared" ref="AM116:AM144" si="73">AI116*(AJ116+AK116+AL116)</f>
        <v>299841.62947199977</v>
      </c>
      <c r="AO116" s="12"/>
      <c r="AP116" s="13">
        <f t="shared" si="67"/>
        <v>2016</v>
      </c>
      <c r="AQ116" s="73">
        <f ca="1">Zalozenia!$I527</f>
        <v>38.464999999999996</v>
      </c>
      <c r="AR116" s="19">
        <f ca="1">(Zalozenia!$Z317-Zalozenia!$Z424)*Zalozenia!$AI389</f>
        <v>0</v>
      </c>
      <c r="AS116" s="19">
        <f ca="1">Zalozenia!$Z389*(Zalozenia!$Z317-Zalozenia!$Z424)/2</f>
        <v>0</v>
      </c>
      <c r="AT116" s="19">
        <f ca="1">(Zalozenia!$Q317-Zalozenia!$H424)*Zalozenia!$Q389</f>
        <v>0</v>
      </c>
      <c r="AU116" s="74">
        <f t="shared" ref="AU116:AU144" si="74">AQ116*(AR116+AS116+AT116)</f>
        <v>0</v>
      </c>
      <c r="AW116" s="131">
        <f t="shared" ref="AW116:AW144" si="75">G116</f>
        <v>116198.28541225863</v>
      </c>
      <c r="AX116" s="131">
        <f t="shared" ref="AX116:AX144" si="76">O116</f>
        <v>463278.03280919965</v>
      </c>
      <c r="AY116" s="131">
        <f t="shared" ref="AY116:AY144" si="77">W116</f>
        <v>236874.69798892189</v>
      </c>
      <c r="AZ116" s="131">
        <f t="shared" ref="AZ116:AZ144" si="78">AE116</f>
        <v>248072.94995628804</v>
      </c>
      <c r="BA116" s="131">
        <f t="shared" ref="BA116:BA144" si="79">AM116</f>
        <v>299841.62947199977</v>
      </c>
      <c r="BB116" s="131">
        <f t="shared" ref="BB116:BB144" si="80">AU116</f>
        <v>0</v>
      </c>
    </row>
    <row r="117" spans="1:54" s="4" customFormat="1" ht="10.5">
      <c r="A117" s="12"/>
      <c r="B117" s="13">
        <f t="shared" si="68"/>
        <v>2017</v>
      </c>
      <c r="C117" s="73">
        <f ca="1">Zalozenia!$I528</f>
        <v>40.082000000000001</v>
      </c>
      <c r="D117" s="19">
        <f ca="1">(Zalozenia!U318-Zalozenia!U425)*Zalozenia!AD390</f>
        <v>7097.7894624000155</v>
      </c>
      <c r="E117" s="19">
        <f ca="1">Zalozenia!U390*(Zalozenia!U318-Zalozenia!U425)/2</f>
        <v>29.929536000000066</v>
      </c>
      <c r="F117" s="19">
        <f ca="1">(Zalozenia!L318-Zalozenia!C425)*Zalozenia!L390</f>
        <v>-4059.1933199999999</v>
      </c>
      <c r="G117" s="74">
        <f>C117*(D117+E117+F117)</f>
        <v>122992.64624162941</v>
      </c>
      <c r="I117" s="12"/>
      <c r="J117" s="13">
        <f t="shared" si="63"/>
        <v>2017</v>
      </c>
      <c r="K117" s="73">
        <f ca="1">Zalozenia!$I528</f>
        <v>40.082000000000001</v>
      </c>
      <c r="L117" s="19">
        <f ca="1">(Zalozenia!$V318-Zalozenia!$V425)*Zalozenia!$AE390</f>
        <v>28303.18847999999</v>
      </c>
      <c r="M117" s="19">
        <f ca="1">Zalozenia!$V390*(Zalozenia!$V318-Zalozenia!$V425)/2</f>
        <v>119.34719999999997</v>
      </c>
      <c r="N117" s="19">
        <f ca="1">(Zalozenia!$M318-Zalozenia!$D425)*Zalozenia!$M390</f>
        <v>-16186.464</v>
      </c>
      <c r="O117" s="74">
        <f t="shared" si="70"/>
        <v>490446.22507775959</v>
      </c>
      <c r="Q117" s="12"/>
      <c r="R117" s="13">
        <f t="shared" si="64"/>
        <v>2017</v>
      </c>
      <c r="S117" s="73">
        <f ca="1">Zalozenia!$I528</f>
        <v>40.082000000000001</v>
      </c>
      <c r="T117" s="19">
        <f ca="1">(Zalozenia!$W318-Zalozenia!$W425)*Zalozenia!$AF390</f>
        <v>14413.385073599991</v>
      </c>
      <c r="U117" s="19">
        <f ca="1">Zalozenia!$W390*(Zalozenia!$W318-Zalozenia!$W425)/2</f>
        <v>60.777503999999965</v>
      </c>
      <c r="V117" s="19">
        <f ca="1">(Zalozenia!$N318-Zalozenia!$E425)*Zalozenia!$N390</f>
        <v>-8242.9489799999974</v>
      </c>
      <c r="W117" s="74">
        <f t="shared" si="71"/>
        <v>249759.50341900295</v>
      </c>
      <c r="Y117" s="12"/>
      <c r="Z117" s="13">
        <f t="shared" si="65"/>
        <v>2017</v>
      </c>
      <c r="AA117" s="73">
        <f ca="1">Zalozenia!$I528</f>
        <v>40.082000000000001</v>
      </c>
      <c r="AB117" s="19">
        <f ca="1">(Zalozenia!$X318-Zalozenia!$X425)*Zalozenia!$AG390</f>
        <v>15161.158864800058</v>
      </c>
      <c r="AC117" s="19">
        <f ca="1">Zalozenia!$X390*(Zalozenia!$X318-Zalozenia!$X425)/2</f>
        <v>63.930672000000236</v>
      </c>
      <c r="AD117" s="19">
        <f ca="1">(Zalozenia!$O318-Zalozenia!$F425)*Zalozenia!$O390</f>
        <v>-8670.5973900000026</v>
      </c>
      <c r="AE117" s="74">
        <f t="shared" si="72"/>
        <v>262717.15422803984</v>
      </c>
      <c r="AG117" s="12"/>
      <c r="AH117" s="13">
        <f t="shared" si="66"/>
        <v>2017</v>
      </c>
      <c r="AI117" s="73">
        <f ca="1">Zalozenia!$I528</f>
        <v>40.082000000000001</v>
      </c>
      <c r="AJ117" s="19">
        <f ca="1">(Zalozenia!$Y318-Zalozenia!$Y425)*Zalozenia!$AH390</f>
        <v>18244.082303999996</v>
      </c>
      <c r="AK117" s="19">
        <f ca="1">Zalozenia!$Y390*(Zalozenia!$Y318-Zalozenia!$Y425)/2</f>
        <v>76.930559999999986</v>
      </c>
      <c r="AL117" s="19">
        <f ca="1">(Zalozenia!$P318-Zalozenia!$G425)*Zalozenia!$P390</f>
        <v>-10433.707199999999</v>
      </c>
      <c r="AM117" s="74">
        <f t="shared" si="73"/>
        <v>316138.98562444793</v>
      </c>
      <c r="AO117" s="12"/>
      <c r="AP117" s="13">
        <f t="shared" si="67"/>
        <v>2017</v>
      </c>
      <c r="AQ117" s="73">
        <f ca="1">Zalozenia!$I528</f>
        <v>40.082000000000001</v>
      </c>
      <c r="AR117" s="19">
        <f ca="1">(Zalozenia!$Z318-Zalozenia!$Z425)*Zalozenia!$AI390</f>
        <v>0</v>
      </c>
      <c r="AS117" s="19">
        <f ca="1">Zalozenia!$Z390*(Zalozenia!$Z318-Zalozenia!$Z425)/2</f>
        <v>0</v>
      </c>
      <c r="AT117" s="19">
        <f ca="1">(Zalozenia!$Q318-Zalozenia!$H425)*Zalozenia!$Q390</f>
        <v>0</v>
      </c>
      <c r="AU117" s="74">
        <f t="shared" si="74"/>
        <v>0</v>
      </c>
      <c r="AW117" s="131">
        <f t="shared" si="75"/>
        <v>122992.64624162941</v>
      </c>
      <c r="AX117" s="131">
        <f t="shared" si="76"/>
        <v>490446.22507775959</v>
      </c>
      <c r="AY117" s="131">
        <f t="shared" si="77"/>
        <v>249759.50341900295</v>
      </c>
      <c r="AZ117" s="131">
        <f t="shared" si="78"/>
        <v>262717.15422803984</v>
      </c>
      <c r="BA117" s="131">
        <f t="shared" si="79"/>
        <v>316138.98562444793</v>
      </c>
      <c r="BB117" s="131">
        <f t="shared" si="80"/>
        <v>0</v>
      </c>
    </row>
    <row r="118" spans="1:54" s="4" customFormat="1" ht="10.5">
      <c r="A118" s="12"/>
      <c r="B118" s="13">
        <f t="shared" si="68"/>
        <v>2018</v>
      </c>
      <c r="C118" s="73">
        <f ca="1">Zalozenia!$I529</f>
        <v>41.753</v>
      </c>
      <c r="D118" s="19">
        <f ca="1">(Zalozenia!U319-Zalozenia!U426)*Zalozenia!AD391</f>
        <v>7207.9902216000164</v>
      </c>
      <c r="E118" s="19">
        <f ca="1">Zalozenia!U391*(Zalozenia!U319-Zalozenia!U426)/2</f>
        <v>30.394224000000069</v>
      </c>
      <c r="F118" s="19">
        <f ca="1">(Zalozenia!L319-Zalozenia!C426)*Zalozenia!L391</f>
        <v>-4122.216629999999</v>
      </c>
      <c r="G118" s="74">
        <f t="shared" si="69"/>
        <v>130109.35480474752</v>
      </c>
      <c r="I118" s="12"/>
      <c r="J118" s="13">
        <f t="shared" si="63"/>
        <v>2018</v>
      </c>
      <c r="K118" s="73">
        <f ca="1">Zalozenia!$I529</f>
        <v>41.753</v>
      </c>
      <c r="L118" s="19">
        <f ca="1">(Zalozenia!$V319-Zalozenia!$V426)*Zalozenia!$AE391</f>
        <v>28747.133279999991</v>
      </c>
      <c r="M118" s="19">
        <f ca="1">Zalozenia!$V391*(Zalozenia!$V319-Zalozenia!$V426)/2</f>
        <v>121.21919999999997</v>
      </c>
      <c r="N118" s="19">
        <f ca="1">(Zalozenia!$M319-Zalozenia!$D426)*Zalozenia!$M391</f>
        <v>-16440.353999999999</v>
      </c>
      <c r="O118" s="74">
        <f t="shared" si="70"/>
        <v>518906.22053543961</v>
      </c>
      <c r="Q118" s="12"/>
      <c r="R118" s="13">
        <f t="shared" si="64"/>
        <v>2018</v>
      </c>
      <c r="S118" s="73">
        <f ca="1">Zalozenia!$I529</f>
        <v>41.753</v>
      </c>
      <c r="T118" s="19">
        <f ca="1">(Zalozenia!$W319-Zalozenia!$W426)*Zalozenia!$AF391</f>
        <v>14582.300378399992</v>
      </c>
      <c r="U118" s="19">
        <f ca="1">Zalozenia!$W391*(Zalozenia!$W319-Zalozenia!$W426)/2</f>
        <v>61.489775999999964</v>
      </c>
      <c r="V118" s="19">
        <f ca="1">(Zalozenia!$N319-Zalozenia!$E426)*Zalozenia!$N391</f>
        <v>-8339.5508699999973</v>
      </c>
      <c r="W118" s="74">
        <f t="shared" si="71"/>
        <v>263220.90284155298</v>
      </c>
      <c r="Y118" s="12"/>
      <c r="Z118" s="13">
        <f t="shared" si="65"/>
        <v>2018</v>
      </c>
      <c r="AA118" s="73">
        <f ca="1">Zalozenia!$I529</f>
        <v>41.753</v>
      </c>
      <c r="AB118" s="19">
        <f ca="1">(Zalozenia!$X319-Zalozenia!$X426)*Zalozenia!$AG391</f>
        <v>15404.440615200057</v>
      </c>
      <c r="AC118" s="19">
        <f ca="1">Zalozenia!$X391*(Zalozenia!$X319-Zalozenia!$X426)/2</f>
        <v>64.956528000000247</v>
      </c>
      <c r="AD118" s="19">
        <f ca="1">(Zalozenia!$O319-Zalozenia!$F426)*Zalozenia!$O391</f>
        <v>-8809.729110000002</v>
      </c>
      <c r="AE118" s="74">
        <f t="shared" si="72"/>
        <v>278061.11939020193</v>
      </c>
      <c r="AG118" s="12"/>
      <c r="AH118" s="13">
        <f t="shared" si="66"/>
        <v>2018</v>
      </c>
      <c r="AI118" s="73">
        <f ca="1">Zalozenia!$I529</f>
        <v>41.753</v>
      </c>
      <c r="AJ118" s="19">
        <f ca="1">(Zalozenia!$Y319-Zalozenia!$Y426)*Zalozenia!$AH391</f>
        <v>18457.175807999996</v>
      </c>
      <c r="AK118" s="19">
        <f ca="1">Zalozenia!$Y391*(Zalozenia!$Y319-Zalozenia!$Y426)/2</f>
        <v>77.829119999999975</v>
      </c>
      <c r="AL118" s="19">
        <f ca="1">(Zalozenia!$P319-Zalozenia!$G426)*Zalozenia!$P391</f>
        <v>-10555.5744</v>
      </c>
      <c r="AM118" s="74">
        <f t="shared" si="73"/>
        <v>333165.16283558379</v>
      </c>
      <c r="AO118" s="12"/>
      <c r="AP118" s="13">
        <f t="shared" si="67"/>
        <v>2018</v>
      </c>
      <c r="AQ118" s="73">
        <f ca="1">Zalozenia!$I529</f>
        <v>41.753</v>
      </c>
      <c r="AR118" s="19">
        <f ca="1">(Zalozenia!$Z319-Zalozenia!$Z426)*Zalozenia!$AI391</f>
        <v>0</v>
      </c>
      <c r="AS118" s="19">
        <f ca="1">Zalozenia!$Z391*(Zalozenia!$Z319-Zalozenia!$Z426)/2</f>
        <v>0</v>
      </c>
      <c r="AT118" s="19">
        <f ca="1">(Zalozenia!$Q319-Zalozenia!$H426)*Zalozenia!$Q391</f>
        <v>0</v>
      </c>
      <c r="AU118" s="74">
        <f t="shared" si="74"/>
        <v>0</v>
      </c>
      <c r="AW118" s="131">
        <f t="shared" si="75"/>
        <v>130109.35480474752</v>
      </c>
      <c r="AX118" s="131">
        <f t="shared" si="76"/>
        <v>518906.22053543961</v>
      </c>
      <c r="AY118" s="131">
        <f t="shared" si="77"/>
        <v>263220.90284155298</v>
      </c>
      <c r="AZ118" s="131">
        <f t="shared" si="78"/>
        <v>278061.11939020193</v>
      </c>
      <c r="BA118" s="131">
        <f t="shared" si="79"/>
        <v>333165.16283558379</v>
      </c>
      <c r="BB118" s="131">
        <f t="shared" si="80"/>
        <v>0</v>
      </c>
    </row>
    <row r="119" spans="1:54" s="4" customFormat="1" ht="10.5">
      <c r="A119" s="12"/>
      <c r="B119" s="13">
        <f t="shared" si="68"/>
        <v>2019</v>
      </c>
      <c r="C119" s="73">
        <f ca="1">Zalozenia!$I530</f>
        <v>43.506</v>
      </c>
      <c r="D119" s="19">
        <f ca="1">(Zalozenia!U320-Zalozenia!U427)*Zalozenia!AD392</f>
        <v>7318.1909808000164</v>
      </c>
      <c r="E119" s="19">
        <f ca="1">Zalozenia!U392*(Zalozenia!U320-Zalozenia!U427)/2</f>
        <v>30.858912000000071</v>
      </c>
      <c r="F119" s="19">
        <f ca="1">(Zalozenia!L320-Zalozenia!C427)*Zalozenia!L392</f>
        <v>-4185.2399399999995</v>
      </c>
      <c r="G119" s="74">
        <f>C119*(D119+E119+F119)</f>
        <v>137644.71580651752</v>
      </c>
      <c r="I119" s="12"/>
      <c r="J119" s="13">
        <f t="shared" si="63"/>
        <v>2019</v>
      </c>
      <c r="K119" s="73">
        <f ca="1">Zalozenia!$I530</f>
        <v>43.506</v>
      </c>
      <c r="L119" s="19">
        <f ca="1">(Zalozenia!$V320-Zalozenia!$V427)*Zalozenia!$AE392</f>
        <v>29191.078079999992</v>
      </c>
      <c r="M119" s="19">
        <f ca="1">Zalozenia!$V392*(Zalozenia!$V320-Zalozenia!$V427)/2</f>
        <v>123.09119999999997</v>
      </c>
      <c r="N119" s="19">
        <f ca="1">(Zalozenia!$M320-Zalozenia!$D427)*Zalozenia!$M392</f>
        <v>-16694.244000000002</v>
      </c>
      <c r="O119" s="74">
        <f t="shared" si="70"/>
        <v>549042.46923167945</v>
      </c>
      <c r="Q119" s="12"/>
      <c r="R119" s="13">
        <f t="shared" si="64"/>
        <v>2019</v>
      </c>
      <c r="S119" s="73">
        <f ca="1">Zalozenia!$I530</f>
        <v>43.506</v>
      </c>
      <c r="T119" s="19">
        <f ca="1">(Zalozenia!$W320-Zalozenia!$W427)*Zalozenia!$AF392</f>
        <v>14751.215683199991</v>
      </c>
      <c r="U119" s="19">
        <f ca="1">Zalozenia!$W392*(Zalozenia!$W320-Zalozenia!$W427)/2</f>
        <v>62.202047999999969</v>
      </c>
      <c r="V119" s="19">
        <f ca="1">(Zalozenia!$N320-Zalozenia!$E427)*Zalozenia!$N392</f>
        <v>-8436.152759999999</v>
      </c>
      <c r="W119" s="74">
        <f t="shared" si="71"/>
        <v>277449.28983702679</v>
      </c>
      <c r="Y119" s="12"/>
      <c r="Z119" s="13">
        <f t="shared" si="65"/>
        <v>2019</v>
      </c>
      <c r="AA119" s="73">
        <f ca="1">Zalozenia!$I530</f>
        <v>43.506</v>
      </c>
      <c r="AB119" s="19">
        <f ca="1">(Zalozenia!$X320-Zalozenia!$X427)*Zalozenia!$AG392</f>
        <v>15647.722365600057</v>
      </c>
      <c r="AC119" s="19">
        <f ca="1">Zalozenia!$X392*(Zalozenia!$X320-Zalozenia!$X427)/2</f>
        <v>65.982384000000252</v>
      </c>
      <c r="AD119" s="19">
        <f ca="1">(Zalozenia!$O320-Zalozenia!$F427)*Zalozenia!$O392</f>
        <v>-8948.8608300000033</v>
      </c>
      <c r="AE119" s="74">
        <f t="shared" si="72"/>
        <v>294311.29956611997</v>
      </c>
      <c r="AG119" s="12"/>
      <c r="AH119" s="13">
        <f t="shared" si="66"/>
        <v>2019</v>
      </c>
      <c r="AI119" s="73">
        <f ca="1">Zalozenia!$I530</f>
        <v>43.506</v>
      </c>
      <c r="AJ119" s="19">
        <f ca="1">(Zalozenia!$Y320-Zalozenia!$Y427)*Zalozenia!$AH392</f>
        <v>18670.269311999993</v>
      </c>
      <c r="AK119" s="19">
        <f ca="1">Zalozenia!$Y392*(Zalozenia!$Y320-Zalozenia!$Y427)/2</f>
        <v>78.727679999999978</v>
      </c>
      <c r="AL119" s="19">
        <f ca="1">(Zalozenia!$P320-Zalozenia!$G427)*Zalozenia!$P392</f>
        <v>-10677.4416</v>
      </c>
      <c r="AM119" s="74">
        <f t="shared" si="73"/>
        <v>351161.08888435172</v>
      </c>
      <c r="AO119" s="12"/>
      <c r="AP119" s="13">
        <f t="shared" si="67"/>
        <v>2019</v>
      </c>
      <c r="AQ119" s="73">
        <f ca="1">Zalozenia!$I530</f>
        <v>43.506</v>
      </c>
      <c r="AR119" s="19">
        <f ca="1">(Zalozenia!$Z320-Zalozenia!$Z427)*Zalozenia!$AI392</f>
        <v>0</v>
      </c>
      <c r="AS119" s="19">
        <f ca="1">Zalozenia!$Z392*(Zalozenia!$Z320-Zalozenia!$Z427)/2</f>
        <v>0</v>
      </c>
      <c r="AT119" s="19">
        <f ca="1">(Zalozenia!$Q320-Zalozenia!$H427)*Zalozenia!$Q392</f>
        <v>0</v>
      </c>
      <c r="AU119" s="74">
        <f t="shared" si="74"/>
        <v>0</v>
      </c>
      <c r="AW119" s="131">
        <f t="shared" si="75"/>
        <v>137644.71580651752</v>
      </c>
      <c r="AX119" s="131">
        <f t="shared" si="76"/>
        <v>549042.46923167945</v>
      </c>
      <c r="AY119" s="131">
        <f t="shared" si="77"/>
        <v>277449.28983702679</v>
      </c>
      <c r="AZ119" s="131">
        <f t="shared" si="78"/>
        <v>294311.29956611997</v>
      </c>
      <c r="BA119" s="131">
        <f t="shared" si="79"/>
        <v>351161.08888435172</v>
      </c>
      <c r="BB119" s="131">
        <f t="shared" si="80"/>
        <v>0</v>
      </c>
    </row>
    <row r="120" spans="1:54" s="4" customFormat="1" ht="10.5">
      <c r="A120" s="12"/>
      <c r="B120" s="13">
        <f t="shared" si="68"/>
        <v>2020</v>
      </c>
      <c r="C120" s="73">
        <f ca="1">Zalozenia!$I531</f>
        <v>44.811</v>
      </c>
      <c r="D120" s="19">
        <f ca="1">(Zalozenia!U321-Zalozenia!U428)*Zalozenia!AD393</f>
        <v>7428.3917400000164</v>
      </c>
      <c r="E120" s="19">
        <f ca="1">Zalozenia!U393*(Zalozenia!U321-Zalozenia!U428)/2</f>
        <v>31.32360000000007</v>
      </c>
      <c r="F120" s="19">
        <f ca="1">(Zalozenia!L321-Zalozenia!C428)*Zalozenia!L393</f>
        <v>-4248.2632499999991</v>
      </c>
      <c r="G120" s="74">
        <f t="shared" si="69"/>
        <v>143908.37960499077</v>
      </c>
      <c r="I120" s="12"/>
      <c r="J120" s="13">
        <f t="shared" si="63"/>
        <v>2020</v>
      </c>
      <c r="K120" s="73">
        <f ca="1">Zalozenia!$I531</f>
        <v>44.811</v>
      </c>
      <c r="L120" s="19">
        <f ca="1">(Zalozenia!$V321-Zalozenia!$V428)*Zalozenia!$AE393</f>
        <v>29635.02287999999</v>
      </c>
      <c r="M120" s="19">
        <f ca="1">Zalozenia!$V393*(Zalozenia!$V321-Zalozenia!$V428)/2</f>
        <v>124.96319999999997</v>
      </c>
      <c r="N120" s="19">
        <f ca="1">(Zalozenia!$M321-Zalozenia!$D428)*Zalozenia!$M393</f>
        <v>-16948.134000000002</v>
      </c>
      <c r="O120" s="74">
        <f t="shared" si="70"/>
        <v>574111.90355687938</v>
      </c>
      <c r="Q120" s="12"/>
      <c r="R120" s="13">
        <f t="shared" si="64"/>
        <v>2020</v>
      </c>
      <c r="S120" s="73">
        <f ca="1">Zalozenia!$I531</f>
        <v>44.811</v>
      </c>
      <c r="T120" s="19">
        <f ca="1">(Zalozenia!$W321-Zalozenia!$W428)*Zalozenia!$AF393</f>
        <v>14920.130987999992</v>
      </c>
      <c r="U120" s="19">
        <f ca="1">Zalozenia!$W393*(Zalozenia!$W321-Zalozenia!$W428)/2</f>
        <v>62.914319999999968</v>
      </c>
      <c r="V120" s="19">
        <f ca="1">(Zalozenia!$N321-Zalozenia!$E428)*Zalozenia!$N393</f>
        <v>-8532.7546499999971</v>
      </c>
      <c r="W120" s="74">
        <f t="shared" si="71"/>
        <v>289043.97467563773</v>
      </c>
      <c r="Y120" s="12"/>
      <c r="Z120" s="13">
        <f t="shared" si="65"/>
        <v>2020</v>
      </c>
      <c r="AA120" s="73">
        <f ca="1">Zalozenia!$I531</f>
        <v>44.811</v>
      </c>
      <c r="AB120" s="19">
        <f ca="1">(Zalozenia!$X321-Zalozenia!$X428)*Zalozenia!$AG393</f>
        <v>15891.004116000058</v>
      </c>
      <c r="AC120" s="19">
        <f ca="1">Zalozenia!$X393*(Zalozenia!$X321-Zalozenia!$X428)/2</f>
        <v>67.008240000000242</v>
      </c>
      <c r="AD120" s="19">
        <f ca="1">(Zalozenia!$O321-Zalozenia!$F428)*Zalozenia!$O393</f>
        <v>-9087.9925500000045</v>
      </c>
      <c r="AE120" s="74">
        <f t="shared" si="72"/>
        <v>307852.45752666844</v>
      </c>
      <c r="AG120" s="12"/>
      <c r="AH120" s="13">
        <f t="shared" si="66"/>
        <v>2020</v>
      </c>
      <c r="AI120" s="73">
        <f ca="1">Zalozenia!$I531</f>
        <v>44.811</v>
      </c>
      <c r="AJ120" s="19">
        <f ca="1">(Zalozenia!$Y321-Zalozenia!$Y428)*Zalozenia!$AH393</f>
        <v>18883.362815999993</v>
      </c>
      <c r="AK120" s="19">
        <f ca="1">Zalozenia!$Y393*(Zalozenia!$Y321-Zalozenia!$Y428)/2</f>
        <v>79.626239999999981</v>
      </c>
      <c r="AL120" s="19">
        <f ca="1">(Zalozenia!$P321-Zalozenia!$G428)*Zalozenia!$P393</f>
        <v>-10799.308800000001</v>
      </c>
      <c r="AM120" s="74">
        <f t="shared" si="73"/>
        <v>365822.67595161573</v>
      </c>
      <c r="AO120" s="12"/>
      <c r="AP120" s="13">
        <f t="shared" si="67"/>
        <v>2020</v>
      </c>
      <c r="AQ120" s="73">
        <f ca="1">Zalozenia!$I531</f>
        <v>44.811</v>
      </c>
      <c r="AR120" s="19">
        <f ca="1">(Zalozenia!$Z321-Zalozenia!$Z428)*Zalozenia!$AI393</f>
        <v>0</v>
      </c>
      <c r="AS120" s="19">
        <f ca="1">Zalozenia!$Z393*(Zalozenia!$Z321-Zalozenia!$Z428)/2</f>
        <v>0</v>
      </c>
      <c r="AT120" s="19">
        <f ca="1">(Zalozenia!$Q321-Zalozenia!$H428)*Zalozenia!$Q393</f>
        <v>0</v>
      </c>
      <c r="AU120" s="74">
        <f t="shared" si="74"/>
        <v>0</v>
      </c>
      <c r="AW120" s="131">
        <f t="shared" si="75"/>
        <v>143908.37960499077</v>
      </c>
      <c r="AX120" s="131">
        <f t="shared" si="76"/>
        <v>574111.90355687938</v>
      </c>
      <c r="AY120" s="131">
        <f t="shared" si="77"/>
        <v>289043.97467563773</v>
      </c>
      <c r="AZ120" s="131">
        <f t="shared" si="78"/>
        <v>307852.45752666844</v>
      </c>
      <c r="BA120" s="131">
        <f t="shared" si="79"/>
        <v>365822.67595161573</v>
      </c>
      <c r="BB120" s="131">
        <f t="shared" si="80"/>
        <v>0</v>
      </c>
    </row>
    <row r="121" spans="1:54" s="4" customFormat="1" ht="10.5">
      <c r="A121" s="12"/>
      <c r="B121" s="13">
        <f t="shared" si="68"/>
        <v>2021</v>
      </c>
      <c r="C121" s="73">
        <f ca="1">Zalozenia!$I532</f>
        <v>46.125</v>
      </c>
      <c r="D121" s="19">
        <f ca="1">(Zalozenia!U322-Zalozenia!U429)*Zalozenia!AD394</f>
        <v>7538.5924992000164</v>
      </c>
      <c r="E121" s="19">
        <f ca="1">Zalozenia!U394*(Zalozenia!U322-Zalozenia!U429)/2</f>
        <v>31.788288000000072</v>
      </c>
      <c r="F121" s="19">
        <f ca="1">(Zalozenia!L322-Zalozenia!C429)*Zalozenia!L394</f>
        <v>-4311.2865599999996</v>
      </c>
      <c r="G121" s="74">
        <f t="shared" si="69"/>
        <v>150325.72122960078</v>
      </c>
      <c r="I121" s="12"/>
      <c r="J121" s="13">
        <f t="shared" si="63"/>
        <v>2021</v>
      </c>
      <c r="K121" s="73">
        <f ca="1">Zalozenia!$I532</f>
        <v>46.125</v>
      </c>
      <c r="L121" s="19">
        <f ca="1">(Zalozenia!$V322-Zalozenia!$V429)*Zalozenia!$AE394</f>
        <v>30078.967679999991</v>
      </c>
      <c r="M121" s="19">
        <f ca="1">Zalozenia!$V394*(Zalozenia!$V322-Zalozenia!$V429)/2</f>
        <v>126.83519999999997</v>
      </c>
      <c r="N121" s="19">
        <f ca="1">(Zalozenia!$M322-Zalozenia!$D429)*Zalozenia!$M394</f>
        <v>-17202.024000000001</v>
      </c>
      <c r="O121" s="74">
        <f t="shared" si="70"/>
        <v>599799.30083999957</v>
      </c>
      <c r="Q121" s="12"/>
      <c r="R121" s="13">
        <f t="shared" si="64"/>
        <v>2021</v>
      </c>
      <c r="S121" s="73">
        <f ca="1">Zalozenia!$I532</f>
        <v>46.125</v>
      </c>
      <c r="T121" s="19">
        <f ca="1">(Zalozenia!$W322-Zalozenia!$W429)*Zalozenia!$AF394</f>
        <v>15089.046292799991</v>
      </c>
      <c r="U121" s="19">
        <f ca="1">Zalozenia!$W394*(Zalozenia!$W322-Zalozenia!$W429)/2</f>
        <v>63.626591999999967</v>
      </c>
      <c r="V121" s="19">
        <f ca="1">(Zalozenia!$N322-Zalozenia!$E429)*Zalozenia!$N394</f>
        <v>-8629.3565399999989</v>
      </c>
      <c r="W121" s="74">
        <f t="shared" si="71"/>
        <v>300887.96640389966</v>
      </c>
      <c r="Y121" s="12"/>
      <c r="Z121" s="13">
        <f t="shared" si="65"/>
        <v>2021</v>
      </c>
      <c r="AA121" s="73">
        <f ca="1">Zalozenia!$I532</f>
        <v>46.125</v>
      </c>
      <c r="AB121" s="19">
        <f ca="1">(Zalozenia!$X322-Zalozenia!$X429)*Zalozenia!$AG394</f>
        <v>16134.285866400061</v>
      </c>
      <c r="AC121" s="19">
        <f ca="1">Zalozenia!$X394*(Zalozenia!$X322-Zalozenia!$X429)/2</f>
        <v>68.034096000000247</v>
      </c>
      <c r="AD121" s="19">
        <f ca="1">(Zalozenia!$O322-Zalozenia!$F429)*Zalozenia!$O394</f>
        <v>-9227.1242700000039</v>
      </c>
      <c r="AE121" s="74">
        <f t="shared" si="72"/>
        <v>321730.90131195262</v>
      </c>
      <c r="AG121" s="12"/>
      <c r="AH121" s="13">
        <f t="shared" si="66"/>
        <v>2021</v>
      </c>
      <c r="AI121" s="73">
        <f ca="1">Zalozenia!$I532</f>
        <v>46.125</v>
      </c>
      <c r="AJ121" s="19">
        <f ca="1">(Zalozenia!$Y322-Zalozenia!$Y429)*Zalozenia!$AH394</f>
        <v>19096.456319999994</v>
      </c>
      <c r="AK121" s="19">
        <f ca="1">Zalozenia!$Y394*(Zalozenia!$Y322-Zalozenia!$Y429)/2</f>
        <v>80.524799999999985</v>
      </c>
      <c r="AL121" s="19">
        <f ca="1">(Zalozenia!$P322-Zalozenia!$G429)*Zalozenia!$P394</f>
        <v>-10921.175999999999</v>
      </c>
      <c r="AM121" s="74">
        <f t="shared" si="73"/>
        <v>380799.0111599997</v>
      </c>
      <c r="AO121" s="12"/>
      <c r="AP121" s="13">
        <f t="shared" si="67"/>
        <v>2021</v>
      </c>
      <c r="AQ121" s="73">
        <f ca="1">Zalozenia!$I532</f>
        <v>46.125</v>
      </c>
      <c r="AR121" s="19">
        <f ca="1">(Zalozenia!$Z322-Zalozenia!$Z429)*Zalozenia!$AI394</f>
        <v>0</v>
      </c>
      <c r="AS121" s="19">
        <f ca="1">Zalozenia!$Z394*(Zalozenia!$Z322-Zalozenia!$Z429)/2</f>
        <v>0</v>
      </c>
      <c r="AT121" s="19">
        <f ca="1">(Zalozenia!$Q322-Zalozenia!$H429)*Zalozenia!$Q394</f>
        <v>0</v>
      </c>
      <c r="AU121" s="74">
        <f t="shared" si="74"/>
        <v>0</v>
      </c>
      <c r="AW121" s="131">
        <f t="shared" si="75"/>
        <v>150325.72122960078</v>
      </c>
      <c r="AX121" s="131">
        <f t="shared" si="76"/>
        <v>599799.30083999957</v>
      </c>
      <c r="AY121" s="131">
        <f t="shared" si="77"/>
        <v>300887.96640389966</v>
      </c>
      <c r="AZ121" s="131">
        <f t="shared" si="78"/>
        <v>321730.90131195262</v>
      </c>
      <c r="BA121" s="131">
        <f t="shared" si="79"/>
        <v>380799.0111599997</v>
      </c>
      <c r="BB121" s="131">
        <f t="shared" si="80"/>
        <v>0</v>
      </c>
    </row>
    <row r="122" spans="1:54" s="4" customFormat="1" ht="10.5">
      <c r="A122" s="12"/>
      <c r="B122" s="13">
        <f t="shared" si="68"/>
        <v>2022</v>
      </c>
      <c r="C122" s="73">
        <f ca="1">Zalozenia!$I533</f>
        <v>47.493000000000002</v>
      </c>
      <c r="D122" s="19">
        <f ca="1">(Zalozenia!U323-Zalozenia!U430)*Zalozenia!AD395</f>
        <v>7648.7932584000164</v>
      </c>
      <c r="E122" s="19">
        <f ca="1">Zalozenia!U395*(Zalozenia!U323-Zalozenia!U430)/2</f>
        <v>32.252976000000068</v>
      </c>
      <c r="F122" s="19">
        <f ca="1">(Zalozenia!L323-Zalozenia!C430)*Zalozenia!L395</f>
        <v>-4374.30987</v>
      </c>
      <c r="G122" s="74">
        <f t="shared" si="69"/>
        <v>157046.83015444997</v>
      </c>
      <c r="I122" s="12"/>
      <c r="J122" s="13">
        <f t="shared" si="63"/>
        <v>2022</v>
      </c>
      <c r="K122" s="73">
        <f ca="1">Zalozenia!$I533</f>
        <v>47.493000000000002</v>
      </c>
      <c r="L122" s="19">
        <f ca="1">(Zalozenia!$V323-Zalozenia!$V430)*Zalozenia!$AE395</f>
        <v>30522.912479999992</v>
      </c>
      <c r="M122" s="19">
        <f ca="1">Zalozenia!$V395*(Zalozenia!$V323-Zalozenia!$V430)/2</f>
        <v>128.70719999999997</v>
      </c>
      <c r="N122" s="19">
        <f ca="1">(Zalozenia!$M323-Zalozenia!$D430)*Zalozenia!$M395</f>
        <v>-17455.914000000001</v>
      </c>
      <c r="O122" s="74">
        <f t="shared" si="70"/>
        <v>626703.64986023959</v>
      </c>
      <c r="Q122" s="12"/>
      <c r="R122" s="13">
        <f t="shared" si="64"/>
        <v>2022</v>
      </c>
      <c r="S122" s="73">
        <f ca="1">Zalozenia!$I533</f>
        <v>47.493000000000002</v>
      </c>
      <c r="T122" s="19">
        <f ca="1">(Zalozenia!$W323-Zalozenia!$W430)*Zalozenia!$AF395</f>
        <v>15257.961597599991</v>
      </c>
      <c r="U122" s="19">
        <f ca="1">Zalozenia!$W395*(Zalozenia!$W323-Zalozenia!$W430)/2</f>
        <v>64.338863999999958</v>
      </c>
      <c r="V122" s="19">
        <f ca="1">(Zalozenia!$N323-Zalozenia!$E430)*Zalozenia!$N395</f>
        <v>-8725.958429999997</v>
      </c>
      <c r="W122" s="74">
        <f t="shared" si="71"/>
        <v>313280.07210677851</v>
      </c>
      <c r="Y122" s="12"/>
      <c r="Z122" s="13">
        <f t="shared" si="65"/>
        <v>2022</v>
      </c>
      <c r="AA122" s="73">
        <f ca="1">Zalozenia!$I533</f>
        <v>47.493000000000002</v>
      </c>
      <c r="AB122" s="19">
        <f ca="1">(Zalozenia!$X323-Zalozenia!$X430)*Zalozenia!$AG395</f>
        <v>16377.567616800061</v>
      </c>
      <c r="AC122" s="19">
        <f ca="1">Zalozenia!$X395*(Zalozenia!$X323-Zalozenia!$X430)/2</f>
        <v>69.059952000000266</v>
      </c>
      <c r="AD122" s="19">
        <f ca="1">(Zalozenia!$O323-Zalozenia!$F430)*Zalozenia!$O395</f>
        <v>-9366.2559900000033</v>
      </c>
      <c r="AE122" s="74">
        <f t="shared" si="72"/>
        <v>336268.08739195112</v>
      </c>
      <c r="AG122" s="12"/>
      <c r="AH122" s="13">
        <f t="shared" si="66"/>
        <v>2022</v>
      </c>
      <c r="AI122" s="73">
        <f ca="1">Zalozenia!$I533</f>
        <v>47.493000000000002</v>
      </c>
      <c r="AJ122" s="19">
        <f ca="1">(Zalozenia!$Y323-Zalozenia!$Y430)*Zalozenia!$AH395</f>
        <v>19309.549823999994</v>
      </c>
      <c r="AK122" s="19">
        <f ca="1">Zalozenia!$Y395*(Zalozenia!$Y323-Zalozenia!$Y430)/2</f>
        <v>81.423359999999988</v>
      </c>
      <c r="AL122" s="19">
        <f ca="1">(Zalozenia!$P323-Zalozenia!$G430)*Zalozenia!$P395</f>
        <v>-11043.0432</v>
      </c>
      <c r="AM122" s="74">
        <f t="shared" si="73"/>
        <v>396468.2387301118</v>
      </c>
      <c r="AO122" s="12"/>
      <c r="AP122" s="13">
        <f t="shared" si="67"/>
        <v>2022</v>
      </c>
      <c r="AQ122" s="73">
        <f ca="1">Zalozenia!$I533</f>
        <v>47.493000000000002</v>
      </c>
      <c r="AR122" s="19">
        <f ca="1">(Zalozenia!$Z323-Zalozenia!$Z430)*Zalozenia!$AI395</f>
        <v>0</v>
      </c>
      <c r="AS122" s="19">
        <f ca="1">Zalozenia!$Z395*(Zalozenia!$Z323-Zalozenia!$Z430)/2</f>
        <v>0</v>
      </c>
      <c r="AT122" s="19">
        <f ca="1">(Zalozenia!$Q323-Zalozenia!$H430)*Zalozenia!$Q395</f>
        <v>0</v>
      </c>
      <c r="AU122" s="74">
        <f t="shared" si="74"/>
        <v>0</v>
      </c>
      <c r="AW122" s="131">
        <f t="shared" si="75"/>
        <v>157046.83015444997</v>
      </c>
      <c r="AX122" s="131">
        <f t="shared" si="76"/>
        <v>626703.64986023959</v>
      </c>
      <c r="AY122" s="131">
        <f t="shared" si="77"/>
        <v>313280.07210677851</v>
      </c>
      <c r="AZ122" s="131">
        <f t="shared" si="78"/>
        <v>336268.08739195112</v>
      </c>
      <c r="BA122" s="131">
        <f t="shared" si="79"/>
        <v>396468.2387301118</v>
      </c>
      <c r="BB122" s="131">
        <f t="shared" si="80"/>
        <v>0</v>
      </c>
    </row>
    <row r="123" spans="1:54" s="4" customFormat="1" ht="10.5">
      <c r="A123" s="12"/>
      <c r="B123" s="13">
        <f t="shared" si="68"/>
        <v>2023</v>
      </c>
      <c r="C123" s="73">
        <f ca="1">Zalozenia!$I534</f>
        <v>48.905000000000001</v>
      </c>
      <c r="D123" s="19">
        <f ca="1">(Zalozenia!U324-Zalozenia!U431)*Zalozenia!AD396</f>
        <v>7758.9940176000173</v>
      </c>
      <c r="E123" s="19">
        <f ca="1">Zalozenia!U396*(Zalozenia!U324-Zalozenia!U431)/2</f>
        <v>32.71766400000007</v>
      </c>
      <c r="F123" s="19">
        <f ca="1">(Zalozenia!L324-Zalozenia!C431)*Zalozenia!L396</f>
        <v>-4437.3331799999987</v>
      </c>
      <c r="G123" s="74">
        <f t="shared" si="69"/>
        <v>164045.88062074891</v>
      </c>
      <c r="I123" s="12"/>
      <c r="J123" s="13">
        <f t="shared" si="63"/>
        <v>2023</v>
      </c>
      <c r="K123" s="73">
        <f ca="1">Zalozenia!$I534</f>
        <v>48.905000000000001</v>
      </c>
      <c r="L123" s="19">
        <f ca="1">(Zalozenia!$V324-Zalozenia!$V431)*Zalozenia!$AE396</f>
        <v>30966.857279999989</v>
      </c>
      <c r="M123" s="19">
        <f ca="1">Zalozenia!$V396*(Zalozenia!$V324-Zalozenia!$V431)/2</f>
        <v>130.57919999999996</v>
      </c>
      <c r="N123" s="19">
        <f ca="1">(Zalozenia!$M324-Zalozenia!$D431)*Zalozenia!$M396</f>
        <v>-17709.804</v>
      </c>
      <c r="O123" s="74">
        <f t="shared" si="70"/>
        <v>654722.16643439943</v>
      </c>
      <c r="Q123" s="12"/>
      <c r="R123" s="13">
        <f t="shared" si="64"/>
        <v>2023</v>
      </c>
      <c r="S123" s="73">
        <f ca="1">Zalozenia!$I534</f>
        <v>48.905000000000001</v>
      </c>
      <c r="T123" s="19">
        <f ca="1">(Zalozenia!$W324-Zalozenia!$W431)*Zalozenia!$AF396</f>
        <v>15426.87690239999</v>
      </c>
      <c r="U123" s="19">
        <f ca="1">Zalozenia!$W396*(Zalozenia!$W324-Zalozenia!$W431)/2</f>
        <v>65.051135999999971</v>
      </c>
      <c r="V123" s="19">
        <f ca="1">(Zalozenia!$N324-Zalozenia!$E431)*Zalozenia!$N396</f>
        <v>-8822.5603199999969</v>
      </c>
      <c r="W123" s="74">
        <f t="shared" si="71"/>
        <v>326165.42826835171</v>
      </c>
      <c r="Y123" s="12"/>
      <c r="Z123" s="13">
        <f t="shared" si="65"/>
        <v>2023</v>
      </c>
      <c r="AA123" s="73">
        <f ca="1">Zalozenia!$I534</f>
        <v>48.905000000000001</v>
      </c>
      <c r="AB123" s="19">
        <f ca="1">(Zalozenia!$X324-Zalozenia!$X431)*Zalozenia!$AG396</f>
        <v>16620.849367200062</v>
      </c>
      <c r="AC123" s="19">
        <f ca="1">Zalozenia!$X396*(Zalozenia!$X324-Zalozenia!$X431)/2</f>
        <v>70.08580800000027</v>
      </c>
      <c r="AD123" s="19">
        <f ca="1">(Zalozenia!$O324-Zalozenia!$F431)*Zalozenia!$O396</f>
        <v>-9505.3877100000027</v>
      </c>
      <c r="AE123" s="74">
        <f t="shared" si="72"/>
        <v>351409.19878560893</v>
      </c>
      <c r="AG123" s="12"/>
      <c r="AH123" s="13">
        <f t="shared" si="66"/>
        <v>2023</v>
      </c>
      <c r="AI123" s="73">
        <f ca="1">Zalozenia!$I534</f>
        <v>48.905000000000001</v>
      </c>
      <c r="AJ123" s="19">
        <f ca="1">(Zalozenia!$Y324-Zalozenia!$Y431)*Zalozenia!$AH396</f>
        <v>19522.643327999995</v>
      </c>
      <c r="AK123" s="19">
        <f ca="1">Zalozenia!$Y396*(Zalozenia!$Y324-Zalozenia!$Y431)/2</f>
        <v>82.321919999999992</v>
      </c>
      <c r="AL123" s="19">
        <f ca="1">(Zalozenia!$P324-Zalozenia!$G431)*Zalozenia!$P396</f>
        <v>-11164.910399999999</v>
      </c>
      <c r="AM123" s="74">
        <f t="shared" si="73"/>
        <v>412760.88234143972</v>
      </c>
      <c r="AO123" s="12"/>
      <c r="AP123" s="13">
        <f t="shared" si="67"/>
        <v>2023</v>
      </c>
      <c r="AQ123" s="73">
        <f ca="1">Zalozenia!$I534</f>
        <v>48.905000000000001</v>
      </c>
      <c r="AR123" s="19">
        <f ca="1">(Zalozenia!$Z324-Zalozenia!$Z431)*Zalozenia!$AI396</f>
        <v>0</v>
      </c>
      <c r="AS123" s="19">
        <f ca="1">Zalozenia!$Z396*(Zalozenia!$Z324-Zalozenia!$Z431)/2</f>
        <v>0</v>
      </c>
      <c r="AT123" s="19">
        <f ca="1">(Zalozenia!$Q324-Zalozenia!$H431)*Zalozenia!$Q396</f>
        <v>0</v>
      </c>
      <c r="AU123" s="74">
        <f t="shared" si="74"/>
        <v>0</v>
      </c>
      <c r="AW123" s="131">
        <f t="shared" si="75"/>
        <v>164045.88062074891</v>
      </c>
      <c r="AX123" s="131">
        <f t="shared" si="76"/>
        <v>654722.16643439943</v>
      </c>
      <c r="AY123" s="131">
        <f t="shared" si="77"/>
        <v>326165.42826835171</v>
      </c>
      <c r="AZ123" s="131">
        <f t="shared" si="78"/>
        <v>351409.19878560893</v>
      </c>
      <c r="BA123" s="131">
        <f t="shared" si="79"/>
        <v>412760.88234143972</v>
      </c>
      <c r="BB123" s="131">
        <f t="shared" si="80"/>
        <v>0</v>
      </c>
    </row>
    <row r="124" spans="1:54" s="4" customFormat="1" ht="10.5">
      <c r="A124" s="12"/>
      <c r="B124" s="13">
        <f t="shared" si="68"/>
        <v>2024</v>
      </c>
      <c r="C124" s="73">
        <f ca="1">Zalozenia!$I535</f>
        <v>50.383000000000003</v>
      </c>
      <c r="D124" s="19">
        <f ca="1">(Zalozenia!U325-Zalozenia!U432)*Zalozenia!AD397</f>
        <v>7869.1947768000173</v>
      </c>
      <c r="E124" s="19">
        <f ca="1">Zalozenia!U397*(Zalozenia!U325-Zalozenia!U432)/2</f>
        <v>33.182352000000073</v>
      </c>
      <c r="F124" s="19">
        <f ca="1">(Zalozenia!L325-Zalozenia!C432)*Zalozenia!L397</f>
        <v>-4500.3564899999992</v>
      </c>
      <c r="G124" s="74">
        <f t="shared" si="69"/>
        <v>171404.0058446613</v>
      </c>
      <c r="I124" s="12"/>
      <c r="J124" s="13">
        <f t="shared" si="63"/>
        <v>2024</v>
      </c>
      <c r="K124" s="73">
        <f ca="1">Zalozenia!$I535</f>
        <v>50.383000000000003</v>
      </c>
      <c r="L124" s="19">
        <f ca="1">(Zalozenia!$V325-Zalozenia!$V432)*Zalozenia!$AE397</f>
        <v>31410.80207999999</v>
      </c>
      <c r="M124" s="19">
        <f ca="1">Zalozenia!$V397*(Zalozenia!$V325-Zalozenia!$V432)/2</f>
        <v>132.45119999999997</v>
      </c>
      <c r="N124" s="19">
        <f ca="1">(Zalozenia!$M325-Zalozenia!$D432)*Zalozenia!$M397</f>
        <v>-17963.694</v>
      </c>
      <c r="O124" s="74">
        <f t="shared" si="70"/>
        <v>684178.93520423956</v>
      </c>
      <c r="Q124" s="12"/>
      <c r="R124" s="13">
        <f t="shared" si="64"/>
        <v>2024</v>
      </c>
      <c r="S124" s="73">
        <f ca="1">Zalozenia!$I535</f>
        <v>50.383000000000003</v>
      </c>
      <c r="T124" s="19">
        <f ca="1">(Zalozenia!$W325-Zalozenia!$W432)*Zalozenia!$AF397</f>
        <v>15595.792207199991</v>
      </c>
      <c r="U124" s="19">
        <f ca="1">Zalozenia!$W397*(Zalozenia!$W325-Zalozenia!$W432)/2</f>
        <v>65.763407999999956</v>
      </c>
      <c r="V124" s="19">
        <f ca="1">(Zalozenia!$N325-Zalozenia!$E432)*Zalozenia!$N397</f>
        <v>-8919.1622099999986</v>
      </c>
      <c r="W124" s="74">
        <f t="shared" si="71"/>
        <v>339702.00693419127</v>
      </c>
      <c r="Y124" s="12"/>
      <c r="Z124" s="13">
        <f t="shared" si="65"/>
        <v>2024</v>
      </c>
      <c r="AA124" s="73">
        <f ca="1">Zalozenia!$I535</f>
        <v>50.383000000000003</v>
      </c>
      <c r="AB124" s="19">
        <f ca="1">(Zalozenia!$X325-Zalozenia!$X432)*Zalozenia!$AG397</f>
        <v>16864.131117600064</v>
      </c>
      <c r="AC124" s="19">
        <f ca="1">Zalozenia!$X397*(Zalozenia!$X325-Zalozenia!$X432)/2</f>
        <v>71.111664000000275</v>
      </c>
      <c r="AD124" s="19">
        <f ca="1">(Zalozenia!$O325-Zalozenia!$F432)*Zalozenia!$O397</f>
        <v>-9644.5194300000039</v>
      </c>
      <c r="AE124" s="74">
        <f t="shared" si="72"/>
        <v>367328.51462366583</v>
      </c>
      <c r="AG124" s="12"/>
      <c r="AH124" s="13">
        <f t="shared" si="66"/>
        <v>2024</v>
      </c>
      <c r="AI124" s="73">
        <f ca="1">Zalozenia!$I535</f>
        <v>50.383000000000003</v>
      </c>
      <c r="AJ124" s="19">
        <f ca="1">(Zalozenia!$Y325-Zalozenia!$Y432)*Zalozenia!$AH397</f>
        <v>19735.736831999995</v>
      </c>
      <c r="AK124" s="19">
        <f ca="1">Zalozenia!$Y397*(Zalozenia!$Y325-Zalozenia!$Y432)/2</f>
        <v>83.220479999999966</v>
      </c>
      <c r="AL124" s="19">
        <f ca="1">(Zalozenia!$P325-Zalozenia!$G432)*Zalozenia!$P397</f>
        <v>-11286.777599999999</v>
      </c>
      <c r="AM124" s="74">
        <f t="shared" si="73"/>
        <v>429876.81042969582</v>
      </c>
      <c r="AO124" s="12"/>
      <c r="AP124" s="13">
        <f t="shared" si="67"/>
        <v>2024</v>
      </c>
      <c r="AQ124" s="73">
        <f ca="1">Zalozenia!$I535</f>
        <v>50.383000000000003</v>
      </c>
      <c r="AR124" s="19">
        <f ca="1">(Zalozenia!$Z325-Zalozenia!$Z432)*Zalozenia!$AI397</f>
        <v>0</v>
      </c>
      <c r="AS124" s="19">
        <f ca="1">Zalozenia!$Z397*(Zalozenia!$Z325-Zalozenia!$Z432)/2</f>
        <v>0</v>
      </c>
      <c r="AT124" s="19">
        <f ca="1">(Zalozenia!$Q325-Zalozenia!$H432)*Zalozenia!$Q397</f>
        <v>0</v>
      </c>
      <c r="AU124" s="74">
        <f t="shared" si="74"/>
        <v>0</v>
      </c>
      <c r="AW124" s="131">
        <f t="shared" si="75"/>
        <v>171404.0058446613</v>
      </c>
      <c r="AX124" s="131">
        <f t="shared" si="76"/>
        <v>684178.93520423956</v>
      </c>
      <c r="AY124" s="131">
        <f t="shared" si="77"/>
        <v>339702.00693419127</v>
      </c>
      <c r="AZ124" s="131">
        <f t="shared" si="78"/>
        <v>367328.51462366583</v>
      </c>
      <c r="BA124" s="131">
        <f t="shared" si="79"/>
        <v>429876.81042969582</v>
      </c>
      <c r="BB124" s="131">
        <f t="shared" si="80"/>
        <v>0</v>
      </c>
    </row>
    <row r="125" spans="1:54" s="4" customFormat="1" ht="10.5">
      <c r="A125" s="12"/>
      <c r="B125" s="13">
        <f t="shared" si="68"/>
        <v>2025</v>
      </c>
      <c r="C125" s="73">
        <f ca="1">Zalozenia!$I536</f>
        <v>51.914999999999992</v>
      </c>
      <c r="D125" s="19">
        <f ca="1">(Zalozenia!U326-Zalozenia!U433)*Zalozenia!AD398</f>
        <v>7722.075791999986</v>
      </c>
      <c r="E125" s="19">
        <f ca="1">Zalozenia!U398*(Zalozenia!U326-Zalozenia!U433)/2</f>
        <v>41.057399999999923</v>
      </c>
      <c r="F125" s="19">
        <f ca="1">(Zalozenia!L326-Zalozenia!C433)*Zalozenia!L398</f>
        <v>-5091.1175999999987</v>
      </c>
      <c r="G125" s="74">
        <f t="shared" si="69"/>
        <v>138717.68945867929</v>
      </c>
      <c r="I125" s="12"/>
      <c r="J125" s="13">
        <f t="shared" si="63"/>
        <v>2025</v>
      </c>
      <c r="K125" s="73">
        <f ca="1">Zalozenia!$I536</f>
        <v>51.914999999999992</v>
      </c>
      <c r="L125" s="19">
        <f ca="1">(Zalozenia!$V326-Zalozenia!$V433)*Zalozenia!$AE398</f>
        <v>29605.672800000029</v>
      </c>
      <c r="M125" s="19">
        <f ca="1">Zalozenia!$V398*(Zalozenia!$V326-Zalozenia!$V433)/2</f>
        <v>157.41000000000014</v>
      </c>
      <c r="N125" s="19">
        <f ca="1">(Zalozenia!$M326-Zalozenia!$D433)*Zalozenia!$M398</f>
        <v>-19518.839999999997</v>
      </c>
      <c r="O125" s="74">
        <f t="shared" si="70"/>
        <v>531829.86496200156</v>
      </c>
      <c r="Q125" s="12"/>
      <c r="R125" s="13">
        <f t="shared" si="64"/>
        <v>2025</v>
      </c>
      <c r="S125" s="73">
        <f ca="1">Zalozenia!$I536</f>
        <v>51.914999999999992</v>
      </c>
      <c r="T125" s="19">
        <f ca="1">(Zalozenia!$W326-Zalozenia!$W433)*Zalozenia!$AF398</f>
        <v>15217.157832000035</v>
      </c>
      <c r="U125" s="19">
        <f ca="1">Zalozenia!$W398*(Zalozenia!$W326-Zalozenia!$W433)/2</f>
        <v>80.907900000000197</v>
      </c>
      <c r="V125" s="19">
        <f ca="1">(Zalozenia!$N326-Zalozenia!$E433)*Zalozenia!$N398</f>
        <v>-10032.579600000003</v>
      </c>
      <c r="W125" s="74">
        <f t="shared" si="71"/>
        <v>273357.71254278166</v>
      </c>
      <c r="Y125" s="12"/>
      <c r="Z125" s="13">
        <f t="shared" si="65"/>
        <v>2025</v>
      </c>
      <c r="AA125" s="73">
        <f ca="1">Zalozenia!$I536</f>
        <v>51.914999999999992</v>
      </c>
      <c r="AB125" s="19">
        <f ca="1">(Zalozenia!$X326-Zalozenia!$X433)*Zalozenia!$AG398</f>
        <v>16524.671183999988</v>
      </c>
      <c r="AC125" s="19">
        <f ca="1">Zalozenia!$X398*(Zalozenia!$X326-Zalozenia!$X433)/2</f>
        <v>87.85979999999995</v>
      </c>
      <c r="AD125" s="19">
        <f ca="1">(Zalozenia!$O326-Zalozenia!$F433)*Zalozenia!$O398</f>
        <v>-10894.615199999997</v>
      </c>
      <c r="AE125" s="74">
        <f t="shared" si="72"/>
        <v>296845.59792635945</v>
      </c>
      <c r="AG125" s="12"/>
      <c r="AH125" s="13">
        <f t="shared" si="66"/>
        <v>2025</v>
      </c>
      <c r="AI125" s="73">
        <f ca="1">Zalozenia!$I536</f>
        <v>51.914999999999992</v>
      </c>
      <c r="AJ125" s="19">
        <f ca="1">(Zalozenia!$Y326-Zalozenia!$Y433)*Zalozenia!$AH398</f>
        <v>28016.547264000117</v>
      </c>
      <c r="AK125" s="19">
        <f ca="1">Zalozenia!$Y398*(Zalozenia!$Y326-Zalozenia!$Y433)/2</f>
        <v>148.96080000000063</v>
      </c>
      <c r="AL125" s="19">
        <f ca="1">(Zalozenia!$P326-Zalozenia!$G433)*Zalozenia!$P398</f>
        <v>-18471.139200000005</v>
      </c>
      <c r="AM125" s="74">
        <f t="shared" si="73"/>
        <v>503283.15957456577</v>
      </c>
      <c r="AO125" s="12"/>
      <c r="AP125" s="13">
        <f t="shared" si="67"/>
        <v>2025</v>
      </c>
      <c r="AQ125" s="73">
        <f ca="1">Zalozenia!$I536</f>
        <v>51.914999999999992</v>
      </c>
      <c r="AR125" s="19">
        <f ca="1">(Zalozenia!$Z326-Zalozenia!$Z433)*Zalozenia!$AI398</f>
        <v>0</v>
      </c>
      <c r="AS125" s="19">
        <f ca="1">Zalozenia!$Z398*(Zalozenia!$Z326-Zalozenia!$Z433)/2</f>
        <v>0</v>
      </c>
      <c r="AT125" s="19">
        <f ca="1">(Zalozenia!$Q326-Zalozenia!$H433)*Zalozenia!$Q398</f>
        <v>0</v>
      </c>
      <c r="AU125" s="74">
        <f t="shared" si="74"/>
        <v>0</v>
      </c>
      <c r="AW125" s="131">
        <f t="shared" si="75"/>
        <v>138717.68945867929</v>
      </c>
      <c r="AX125" s="131">
        <f t="shared" si="76"/>
        <v>531829.86496200156</v>
      </c>
      <c r="AY125" s="131">
        <f t="shared" si="77"/>
        <v>273357.71254278166</v>
      </c>
      <c r="AZ125" s="131">
        <f t="shared" si="78"/>
        <v>296845.59792635945</v>
      </c>
      <c r="BA125" s="131">
        <f t="shared" si="79"/>
        <v>503283.15957456577</v>
      </c>
      <c r="BB125" s="131">
        <f t="shared" si="80"/>
        <v>0</v>
      </c>
    </row>
    <row r="126" spans="1:54" s="4" customFormat="1" ht="10.5">
      <c r="A126" s="12"/>
      <c r="B126" s="13">
        <f t="shared" si="68"/>
        <v>2026</v>
      </c>
      <c r="C126" s="73">
        <f ca="1">Zalozenia!$I537</f>
        <v>53.493000000000002</v>
      </c>
      <c r="D126" s="19">
        <f ca="1">(Zalozenia!U327-Zalozenia!U434)*Zalozenia!AD399</f>
        <v>7778.676587199986</v>
      </c>
      <c r="E126" s="19">
        <f ca="1">Zalozenia!U399*(Zalozenia!U327-Zalozenia!U434)/2</f>
        <v>41.35833999999992</v>
      </c>
      <c r="F126" s="19">
        <f ca="1">(Zalozenia!L327-Zalozenia!C434)*Zalozenia!L399</f>
        <v>-5128.4341599999989</v>
      </c>
      <c r="G126" s="74">
        <f t="shared" si="69"/>
        <v>143981.79983982889</v>
      </c>
      <c r="I126" s="12"/>
      <c r="J126" s="13">
        <f t="shared" si="63"/>
        <v>2026</v>
      </c>
      <c r="K126" s="73">
        <f ca="1">Zalozenia!$I537</f>
        <v>53.493000000000002</v>
      </c>
      <c r="L126" s="19">
        <f ca="1">(Zalozenia!$V327-Zalozenia!$V434)*Zalozenia!$AE399</f>
        <v>29785.101120000028</v>
      </c>
      <c r="M126" s="19">
        <f ca="1">Zalozenia!$V399*(Zalozenia!$V327-Zalozenia!$V434)/2</f>
        <v>158.36400000000015</v>
      </c>
      <c r="N126" s="19">
        <f ca="1">(Zalozenia!$M327-Zalozenia!$D434)*Zalozenia!$M399</f>
        <v>-19637.135999999999</v>
      </c>
      <c r="O126" s="74">
        <f t="shared" si="70"/>
        <v>551316.46361616172</v>
      </c>
      <c r="Q126" s="12"/>
      <c r="R126" s="13">
        <f t="shared" si="64"/>
        <v>2026</v>
      </c>
      <c r="S126" s="73">
        <f ca="1">Zalozenia!$I537</f>
        <v>53.493000000000002</v>
      </c>
      <c r="T126" s="19">
        <f ca="1">(Zalozenia!$W327-Zalozenia!$W434)*Zalozenia!$AF399</f>
        <v>15298.299305600036</v>
      </c>
      <c r="U126" s="19">
        <f ca="1">Zalozenia!$W399*(Zalozenia!$W327-Zalozenia!$W434)/2</f>
        <v>81.3393200000002</v>
      </c>
      <c r="V126" s="19">
        <f ca="1">(Zalozenia!$N327-Zalozenia!$E434)*Zalozenia!$N399</f>
        <v>-10086.075680000004</v>
      </c>
      <c r="W126" s="74">
        <f t="shared" si="71"/>
        <v>283168.56264898257</v>
      </c>
      <c r="Y126" s="12"/>
      <c r="Z126" s="13">
        <f t="shared" si="65"/>
        <v>2026</v>
      </c>
      <c r="AA126" s="73">
        <f ca="1">Zalozenia!$I537</f>
        <v>53.493000000000002</v>
      </c>
      <c r="AB126" s="19">
        <f ca="1">(Zalozenia!$X327-Zalozenia!$X434)*Zalozenia!$AG399</f>
        <v>16625.730329599988</v>
      </c>
      <c r="AC126" s="19">
        <f ca="1">Zalozenia!$X399*(Zalozenia!$X327-Zalozenia!$X434)/2</f>
        <v>88.397119999999958</v>
      </c>
      <c r="AD126" s="19">
        <f ca="1">(Zalozenia!$O327-Zalozenia!$F434)*Zalozenia!$O399</f>
        <v>-10961.242879999996</v>
      </c>
      <c r="AE126" s="74">
        <f t="shared" si="72"/>
        <v>307739.05428161245</v>
      </c>
      <c r="AG126" s="12"/>
      <c r="AH126" s="13">
        <f t="shared" si="66"/>
        <v>2026</v>
      </c>
      <c r="AI126" s="73">
        <f ca="1">Zalozenia!$I537</f>
        <v>53.493000000000002</v>
      </c>
      <c r="AJ126" s="19">
        <f ca="1">(Zalozenia!$Y327-Zalozenia!$Y434)*Zalozenia!$AH399</f>
        <v>28166.695289600117</v>
      </c>
      <c r="AK126" s="19">
        <f ca="1">Zalozenia!$Y399*(Zalozenia!$Y327-Zalozenia!$Y434)/2</f>
        <v>149.75912000000062</v>
      </c>
      <c r="AL126" s="19">
        <f ca="1">(Zalozenia!$P327-Zalozenia!$G434)*Zalozenia!$P399</f>
        <v>-18570.130880000004</v>
      </c>
      <c r="AM126" s="74">
        <f t="shared" si="73"/>
        <v>521360.08456889895</v>
      </c>
      <c r="AO126" s="12"/>
      <c r="AP126" s="13">
        <f t="shared" si="67"/>
        <v>2026</v>
      </c>
      <c r="AQ126" s="73">
        <f ca="1">Zalozenia!$I537</f>
        <v>53.493000000000002</v>
      </c>
      <c r="AR126" s="19">
        <f ca="1">(Zalozenia!$Z327-Zalozenia!$Z434)*Zalozenia!$AI399</f>
        <v>0</v>
      </c>
      <c r="AS126" s="19">
        <f ca="1">Zalozenia!$Z399*(Zalozenia!$Z327-Zalozenia!$Z434)/2</f>
        <v>0</v>
      </c>
      <c r="AT126" s="19">
        <f ca="1">(Zalozenia!$Q327-Zalozenia!$H434)*Zalozenia!$Q399</f>
        <v>0</v>
      </c>
      <c r="AU126" s="74">
        <f t="shared" si="74"/>
        <v>0</v>
      </c>
      <c r="AW126" s="131">
        <f t="shared" si="75"/>
        <v>143981.79983982889</v>
      </c>
      <c r="AX126" s="131">
        <f t="shared" si="76"/>
        <v>551316.46361616172</v>
      </c>
      <c r="AY126" s="131">
        <f t="shared" si="77"/>
        <v>283168.56264898257</v>
      </c>
      <c r="AZ126" s="131">
        <f t="shared" si="78"/>
        <v>307739.05428161245</v>
      </c>
      <c r="BA126" s="131">
        <f t="shared" si="79"/>
        <v>521360.08456889895</v>
      </c>
      <c r="BB126" s="131">
        <f t="shared" si="80"/>
        <v>0</v>
      </c>
    </row>
    <row r="127" spans="1:54" s="4" customFormat="1" ht="10.5">
      <c r="A127" s="12"/>
      <c r="B127" s="13">
        <f t="shared" si="68"/>
        <v>2027</v>
      </c>
      <c r="C127" s="73">
        <f ca="1">Zalozenia!$I538</f>
        <v>54.515999999999998</v>
      </c>
      <c r="D127" s="19">
        <f ca="1">(Zalozenia!U328-Zalozenia!U435)*Zalozenia!AD400</f>
        <v>7835.277382399986</v>
      </c>
      <c r="E127" s="19">
        <f ca="1">Zalozenia!U400*(Zalozenia!U328-Zalozenia!U435)/2</f>
        <v>41.659279999999931</v>
      </c>
      <c r="F127" s="19">
        <f ca="1">(Zalozenia!L328-Zalozenia!C435)*Zalozenia!L400</f>
        <v>-5165.7507199999991</v>
      </c>
      <c r="G127" s="74">
        <f t="shared" si="69"/>
        <v>147803.01283587769</v>
      </c>
      <c r="I127" s="12"/>
      <c r="J127" s="13">
        <f t="shared" si="63"/>
        <v>2027</v>
      </c>
      <c r="K127" s="73">
        <f ca="1">Zalozenia!$I538</f>
        <v>54.515999999999998</v>
      </c>
      <c r="L127" s="19">
        <f ca="1">(Zalozenia!$V328-Zalozenia!$V435)*Zalozenia!$AE400</f>
        <v>29964.529440000028</v>
      </c>
      <c r="M127" s="19">
        <f ca="1">Zalozenia!$V400*(Zalozenia!$V328-Zalozenia!$V435)/2</f>
        <v>159.31800000000015</v>
      </c>
      <c r="N127" s="19">
        <f ca="1">(Zalozenia!$M328-Zalozenia!$D435)*Zalozenia!$M400</f>
        <v>-19755.431999999997</v>
      </c>
      <c r="O127" s="74">
        <f t="shared" si="70"/>
        <v>565244.53612704156</v>
      </c>
      <c r="Q127" s="12"/>
      <c r="R127" s="13">
        <f t="shared" si="64"/>
        <v>2027</v>
      </c>
      <c r="S127" s="73">
        <f ca="1">Zalozenia!$I538</f>
        <v>54.515999999999998</v>
      </c>
      <c r="T127" s="19">
        <f ca="1">(Zalozenia!$W328-Zalozenia!$W435)*Zalozenia!$AF400</f>
        <v>15379.440779200037</v>
      </c>
      <c r="U127" s="19">
        <f ca="1">Zalozenia!$W400*(Zalozenia!$W328-Zalozenia!$W435)/2</f>
        <v>81.770740000000202</v>
      </c>
      <c r="V127" s="19">
        <f ca="1">(Zalozenia!$N328-Zalozenia!$E435)*Zalozenia!$N400</f>
        <v>-10139.571760000003</v>
      </c>
      <c r="W127" s="74">
        <f t="shared" si="71"/>
        <v>290114.51311254903</v>
      </c>
      <c r="Y127" s="12"/>
      <c r="Z127" s="13">
        <f t="shared" si="65"/>
        <v>2027</v>
      </c>
      <c r="AA127" s="73">
        <f ca="1">Zalozenia!$I538</f>
        <v>54.515999999999998</v>
      </c>
      <c r="AB127" s="19">
        <f ca="1">(Zalozenia!$X328-Zalozenia!$X435)*Zalozenia!$AG400</f>
        <v>16726.789475199988</v>
      </c>
      <c r="AC127" s="19">
        <f ca="1">Zalozenia!$X400*(Zalozenia!$X328-Zalozenia!$X435)/2</f>
        <v>88.934439999999952</v>
      </c>
      <c r="AD127" s="19">
        <f ca="1">(Zalozenia!$O328-Zalozenia!$F435)*Zalozenia!$O400</f>
        <v>-11027.870559999998</v>
      </c>
      <c r="AE127" s="74">
        <f t="shared" si="72"/>
        <v>315530.61351208272</v>
      </c>
      <c r="AG127" s="12"/>
      <c r="AH127" s="13">
        <f t="shared" si="66"/>
        <v>2027</v>
      </c>
      <c r="AI127" s="73">
        <f ca="1">Zalozenia!$I538</f>
        <v>54.515999999999998</v>
      </c>
      <c r="AJ127" s="19">
        <f ca="1">(Zalozenia!$Y328-Zalozenia!$Y435)*Zalozenia!$AH400</f>
        <v>28316.84331520012</v>
      </c>
      <c r="AK127" s="19">
        <f ca="1">Zalozenia!$Y400*(Zalozenia!$Y328-Zalozenia!$Y435)/2</f>
        <v>150.55744000000061</v>
      </c>
      <c r="AL127" s="19">
        <f ca="1">(Zalozenia!$P328-Zalozenia!$G435)*Zalozenia!$P400</f>
        <v>-18669.122560000003</v>
      </c>
      <c r="AM127" s="74">
        <f t="shared" si="73"/>
        <v>534162.93408952956</v>
      </c>
      <c r="AO127" s="12"/>
      <c r="AP127" s="13">
        <f t="shared" si="67"/>
        <v>2027</v>
      </c>
      <c r="AQ127" s="73">
        <f ca="1">Zalozenia!$I538</f>
        <v>54.515999999999998</v>
      </c>
      <c r="AR127" s="19">
        <f ca="1">(Zalozenia!$Z328-Zalozenia!$Z435)*Zalozenia!$AI400</f>
        <v>0</v>
      </c>
      <c r="AS127" s="19">
        <f ca="1">Zalozenia!$Z400*(Zalozenia!$Z328-Zalozenia!$Z435)/2</f>
        <v>0</v>
      </c>
      <c r="AT127" s="19">
        <f ca="1">(Zalozenia!$Q328-Zalozenia!$H435)*Zalozenia!$Q400</f>
        <v>0</v>
      </c>
      <c r="AU127" s="74">
        <f t="shared" si="74"/>
        <v>0</v>
      </c>
      <c r="AW127" s="131">
        <f t="shared" si="75"/>
        <v>147803.01283587769</v>
      </c>
      <c r="AX127" s="131">
        <f t="shared" si="76"/>
        <v>565244.53612704156</v>
      </c>
      <c r="AY127" s="131">
        <f t="shared" si="77"/>
        <v>290114.51311254903</v>
      </c>
      <c r="AZ127" s="131">
        <f t="shared" si="78"/>
        <v>315530.61351208272</v>
      </c>
      <c r="BA127" s="131">
        <f t="shared" si="79"/>
        <v>534162.93408952956</v>
      </c>
      <c r="BB127" s="131">
        <f t="shared" si="80"/>
        <v>0</v>
      </c>
    </row>
    <row r="128" spans="1:54" s="4" customFormat="1" ht="10.5">
      <c r="A128" s="12"/>
      <c r="B128" s="13">
        <f t="shared" si="68"/>
        <v>2028</v>
      </c>
      <c r="C128" s="73">
        <f ca="1">Zalozenia!$I539</f>
        <v>55.601999999999997</v>
      </c>
      <c r="D128" s="19">
        <f ca="1">(Zalozenia!U329-Zalozenia!U436)*Zalozenia!AD401</f>
        <v>7891.878177599986</v>
      </c>
      <c r="E128" s="19">
        <f ca="1">Zalozenia!U401*(Zalozenia!U329-Zalozenia!U436)/2</f>
        <v>41.960219999999929</v>
      </c>
      <c r="F128" s="19">
        <f ca="1">(Zalozenia!L329-Zalozenia!C436)*Zalozenia!L401</f>
        <v>-5203.0672799999984</v>
      </c>
      <c r="G128" s="74">
        <f t="shared" si="69"/>
        <v>151836.33568079449</v>
      </c>
      <c r="I128" s="12"/>
      <c r="J128" s="13">
        <f t="shared" si="63"/>
        <v>2028</v>
      </c>
      <c r="K128" s="73">
        <f ca="1">Zalozenia!$I539</f>
        <v>55.601999999999997</v>
      </c>
      <c r="L128" s="19">
        <f ca="1">(Zalozenia!$V329-Zalozenia!$V436)*Zalozenia!$AE401</f>
        <v>30143.957760000027</v>
      </c>
      <c r="M128" s="19">
        <f ca="1">Zalozenia!$V401*(Zalozenia!$V329-Zalozenia!$V436)/2</f>
        <v>160.27200000000013</v>
      </c>
      <c r="N128" s="19">
        <f ca="1">(Zalozenia!$M329-Zalozenia!$D436)*Zalozenia!$M401</f>
        <v>-19873.727999999996</v>
      </c>
      <c r="O128" s="74">
        <f t="shared" si="70"/>
        <v>579956.75885952171</v>
      </c>
      <c r="Q128" s="12"/>
      <c r="R128" s="13">
        <f t="shared" si="64"/>
        <v>2028</v>
      </c>
      <c r="S128" s="73">
        <f ca="1">Zalozenia!$I539</f>
        <v>55.601999999999997</v>
      </c>
      <c r="T128" s="19">
        <f ca="1">(Zalozenia!$W329-Zalozenia!$W436)*Zalozenia!$AF401</f>
        <v>15460.582252800035</v>
      </c>
      <c r="U128" s="19">
        <f ca="1">Zalozenia!$W401*(Zalozenia!$W329-Zalozenia!$W436)/2</f>
        <v>82.202160000000191</v>
      </c>
      <c r="V128" s="19">
        <f ca="1">(Zalozenia!$N329-Zalozenia!$E436)*Zalozenia!$N401</f>
        <v>-10193.067840000002</v>
      </c>
      <c r="W128" s="74">
        <f t="shared" si="71"/>
        <v>297454.94088082749</v>
      </c>
      <c r="Y128" s="12"/>
      <c r="Z128" s="13">
        <f t="shared" si="65"/>
        <v>2028</v>
      </c>
      <c r="AA128" s="73">
        <f ca="1">Zalozenia!$I539</f>
        <v>55.601999999999997</v>
      </c>
      <c r="AB128" s="19">
        <f ca="1">(Zalozenia!$X329-Zalozenia!$X436)*Zalozenia!$AG401</f>
        <v>16827.848620799992</v>
      </c>
      <c r="AC128" s="19">
        <f ca="1">Zalozenia!$X401*(Zalozenia!$X329-Zalozenia!$X436)/2</f>
        <v>89.471759999999946</v>
      </c>
      <c r="AD128" s="19">
        <f ca="1">(Zalozenia!$O329-Zalozenia!$F436)*Zalozenia!$O401</f>
        <v>-11094.498239999997</v>
      </c>
      <c r="AE128" s="74">
        <f t="shared" si="72"/>
        <v>323760.55667276133</v>
      </c>
      <c r="AG128" s="12"/>
      <c r="AH128" s="13">
        <f t="shared" si="66"/>
        <v>2028</v>
      </c>
      <c r="AI128" s="73">
        <f ca="1">Zalozenia!$I539</f>
        <v>55.601999999999997</v>
      </c>
      <c r="AJ128" s="19">
        <f ca="1">(Zalozenia!$Y329-Zalozenia!$Y436)*Zalozenia!$AH401</f>
        <v>28466.991340800123</v>
      </c>
      <c r="AK128" s="19">
        <f ca="1">Zalozenia!$Y401*(Zalozenia!$Y329-Zalozenia!$Y436)/2</f>
        <v>151.35576000000063</v>
      </c>
      <c r="AL128" s="19">
        <f ca="1">(Zalozenia!$P329-Zalozenia!$G436)*Zalozenia!$P401</f>
        <v>-18768.114240000003</v>
      </c>
      <c r="AM128" s="74">
        <f t="shared" si="73"/>
        <v>547692.64752620843</v>
      </c>
      <c r="AO128" s="12"/>
      <c r="AP128" s="13">
        <f t="shared" si="67"/>
        <v>2028</v>
      </c>
      <c r="AQ128" s="73">
        <f ca="1">Zalozenia!$I539</f>
        <v>55.601999999999997</v>
      </c>
      <c r="AR128" s="19">
        <f ca="1">(Zalozenia!$Z329-Zalozenia!$Z436)*Zalozenia!$AI401</f>
        <v>0</v>
      </c>
      <c r="AS128" s="19">
        <f ca="1">Zalozenia!$Z401*(Zalozenia!$Z329-Zalozenia!$Z436)/2</f>
        <v>0</v>
      </c>
      <c r="AT128" s="19">
        <f ca="1">(Zalozenia!$Q329-Zalozenia!$H436)*Zalozenia!$Q401</f>
        <v>0</v>
      </c>
      <c r="AU128" s="74">
        <f t="shared" si="74"/>
        <v>0</v>
      </c>
      <c r="AW128" s="131">
        <f t="shared" si="75"/>
        <v>151836.33568079449</v>
      </c>
      <c r="AX128" s="131">
        <f t="shared" si="76"/>
        <v>579956.75885952171</v>
      </c>
      <c r="AY128" s="131">
        <f t="shared" si="77"/>
        <v>297454.94088082749</v>
      </c>
      <c r="AZ128" s="131">
        <f t="shared" si="78"/>
        <v>323760.55667276133</v>
      </c>
      <c r="BA128" s="131">
        <f t="shared" si="79"/>
        <v>547692.64752620843</v>
      </c>
      <c r="BB128" s="131">
        <f t="shared" si="80"/>
        <v>0</v>
      </c>
    </row>
    <row r="129" spans="1:54" s="4" customFormat="1" ht="10.5">
      <c r="A129" s="12"/>
      <c r="B129" s="13">
        <f t="shared" si="68"/>
        <v>2029</v>
      </c>
      <c r="C129" s="73">
        <f ca="1">Zalozenia!$I540</f>
        <v>56.698</v>
      </c>
      <c r="D129" s="19">
        <f ca="1">(Zalozenia!U330-Zalozenia!U437)*Zalozenia!AD402</f>
        <v>7948.478972799986</v>
      </c>
      <c r="E129" s="19">
        <f ca="1">Zalozenia!U402*(Zalozenia!U330-Zalozenia!U437)/2</f>
        <v>42.261159999999926</v>
      </c>
      <c r="F129" s="19">
        <f ca="1">(Zalozenia!L330-Zalozenia!C437)*Zalozenia!L402</f>
        <v>-5240.3838399999986</v>
      </c>
      <c r="G129" s="74">
        <f t="shared" si="69"/>
        <v>155939.70108917367</v>
      </c>
      <c r="I129" s="12"/>
      <c r="J129" s="13">
        <f t="shared" si="63"/>
        <v>2029</v>
      </c>
      <c r="K129" s="73">
        <f ca="1">Zalozenia!$I540</f>
        <v>56.698</v>
      </c>
      <c r="L129" s="19">
        <f ca="1">(Zalozenia!$V330-Zalozenia!$V437)*Zalozenia!$AE402</f>
        <v>30323.386080000029</v>
      </c>
      <c r="M129" s="19">
        <f ca="1">Zalozenia!$V402*(Zalozenia!$V330-Zalozenia!$V437)/2</f>
        <v>161.22600000000014</v>
      </c>
      <c r="N129" s="19">
        <f ca="1">(Zalozenia!$M330-Zalozenia!$D437)*Zalozenia!$M402</f>
        <v>-19992.023999999998</v>
      </c>
      <c r="O129" s="74">
        <f t="shared" si="70"/>
        <v>594908.75895984168</v>
      </c>
      <c r="Q129" s="12"/>
      <c r="R129" s="13">
        <f t="shared" si="64"/>
        <v>2029</v>
      </c>
      <c r="S129" s="73">
        <f ca="1">Zalozenia!$I540</f>
        <v>56.698</v>
      </c>
      <c r="T129" s="19">
        <f ca="1">(Zalozenia!$W330-Zalozenia!$W437)*Zalozenia!$AF402</f>
        <v>15541.72372640004</v>
      </c>
      <c r="U129" s="19">
        <f ca="1">Zalozenia!$W402*(Zalozenia!$W330-Zalozenia!$W437)/2</f>
        <v>82.633580000000208</v>
      </c>
      <c r="V129" s="19">
        <f ca="1">(Zalozenia!$N330-Zalozenia!$E437)*Zalozenia!$N402</f>
        <v>-10246.563920000002</v>
      </c>
      <c r="W129" s="74">
        <f t="shared" si="71"/>
        <v>304910.12942210928</v>
      </c>
      <c r="Y129" s="12"/>
      <c r="Z129" s="13">
        <f t="shared" si="65"/>
        <v>2029</v>
      </c>
      <c r="AA129" s="73">
        <f ca="1">Zalozenia!$I540</f>
        <v>56.698</v>
      </c>
      <c r="AB129" s="19">
        <f ca="1">(Zalozenia!$X330-Zalozenia!$X437)*Zalozenia!$AG402</f>
        <v>16928.907766399992</v>
      </c>
      <c r="AC129" s="19">
        <f ca="1">Zalozenia!$X402*(Zalozenia!$X330-Zalozenia!$X437)/2</f>
        <v>90.009079999999955</v>
      </c>
      <c r="AD129" s="19">
        <f ca="1">(Zalozenia!$O330-Zalozenia!$F437)*Zalozenia!$O402</f>
        <v>-11161.125919999997</v>
      </c>
      <c r="AE129" s="74">
        <f t="shared" si="72"/>
        <v>332125.02994502697</v>
      </c>
      <c r="AG129" s="12"/>
      <c r="AH129" s="13">
        <f t="shared" si="66"/>
        <v>2029</v>
      </c>
      <c r="AI129" s="73">
        <f ca="1">Zalozenia!$I540</f>
        <v>56.698</v>
      </c>
      <c r="AJ129" s="19">
        <f ca="1">(Zalozenia!$Y330-Zalozenia!$Y437)*Zalozenia!$AH402</f>
        <v>28617.139366400119</v>
      </c>
      <c r="AK129" s="19">
        <f ca="1">Zalozenia!$Y402*(Zalozenia!$Y330-Zalozenia!$Y437)/2</f>
        <v>152.15408000000065</v>
      </c>
      <c r="AL129" s="19">
        <f ca="1">(Zalozenia!$P330-Zalozenia!$G437)*Zalozenia!$P402</f>
        <v>-18867.105920000002</v>
      </c>
      <c r="AM129" s="74">
        <f t="shared" si="73"/>
        <v>561434.2283718338</v>
      </c>
      <c r="AO129" s="12"/>
      <c r="AP129" s="13">
        <f t="shared" si="67"/>
        <v>2029</v>
      </c>
      <c r="AQ129" s="73">
        <f ca="1">Zalozenia!$I540</f>
        <v>56.698</v>
      </c>
      <c r="AR129" s="19">
        <f ca="1">(Zalozenia!$Z330-Zalozenia!$Z437)*Zalozenia!$AI402</f>
        <v>0</v>
      </c>
      <c r="AS129" s="19">
        <f ca="1">Zalozenia!$Z402*(Zalozenia!$Z330-Zalozenia!$Z437)/2</f>
        <v>0</v>
      </c>
      <c r="AT129" s="19">
        <f ca="1">(Zalozenia!$Q330-Zalozenia!$H437)*Zalozenia!$Q402</f>
        <v>0</v>
      </c>
      <c r="AU129" s="74">
        <f t="shared" si="74"/>
        <v>0</v>
      </c>
      <c r="AW129" s="131">
        <f t="shared" si="75"/>
        <v>155939.70108917367</v>
      </c>
      <c r="AX129" s="131">
        <f t="shared" si="76"/>
        <v>594908.75895984168</v>
      </c>
      <c r="AY129" s="131">
        <f t="shared" si="77"/>
        <v>304910.12942210928</v>
      </c>
      <c r="AZ129" s="131">
        <f t="shared" si="78"/>
        <v>332125.02994502697</v>
      </c>
      <c r="BA129" s="131">
        <f t="shared" si="79"/>
        <v>561434.2283718338</v>
      </c>
      <c r="BB129" s="131">
        <f t="shared" si="80"/>
        <v>0</v>
      </c>
    </row>
    <row r="130" spans="1:54" s="4" customFormat="1" ht="10.5">
      <c r="A130" s="12"/>
      <c r="B130" s="13">
        <f t="shared" si="68"/>
        <v>2030</v>
      </c>
      <c r="C130" s="73">
        <f ca="1">Zalozenia!$I541</f>
        <v>57.839999999999996</v>
      </c>
      <c r="D130" s="19">
        <f ca="1">(Zalozenia!U331-Zalozenia!U438)*Zalozenia!AD403</f>
        <v>8005.0797679999851</v>
      </c>
      <c r="E130" s="19">
        <f ca="1">Zalozenia!U403*(Zalozenia!U331-Zalozenia!U438)/2</f>
        <v>42.562099999999923</v>
      </c>
      <c r="F130" s="19">
        <f ca="1">(Zalozenia!L331-Zalozenia!C438)*Zalozenia!L403</f>
        <v>-5277.7003999999988</v>
      </c>
      <c r="G130" s="74">
        <f t="shared" si="69"/>
        <v>160213.4145091192</v>
      </c>
      <c r="I130" s="12"/>
      <c r="J130" s="13">
        <f t="shared" si="63"/>
        <v>2030</v>
      </c>
      <c r="K130" s="73">
        <f ca="1">Zalozenia!$I541</f>
        <v>57.839999999999996</v>
      </c>
      <c r="L130" s="19">
        <f ca="1">(Zalozenia!$V331-Zalozenia!$V438)*Zalozenia!$AE403</f>
        <v>30502.814400000028</v>
      </c>
      <c r="M130" s="19">
        <f ca="1">Zalozenia!$V403*(Zalozenia!$V331-Zalozenia!$V438)/2</f>
        <v>162.18000000000015</v>
      </c>
      <c r="N130" s="19">
        <f ca="1">(Zalozenia!$M331-Zalozenia!$D438)*Zalozenia!$M403</f>
        <v>-20110.319999999996</v>
      </c>
      <c r="O130" s="74">
        <f t="shared" si="70"/>
        <v>610482.36729600187</v>
      </c>
      <c r="Q130" s="12"/>
      <c r="R130" s="13">
        <f t="shared" si="64"/>
        <v>2030</v>
      </c>
      <c r="S130" s="73">
        <f ca="1">Zalozenia!$I541</f>
        <v>57.839999999999996</v>
      </c>
      <c r="T130" s="19">
        <f ca="1">(Zalozenia!$W331-Zalozenia!$W438)*Zalozenia!$AF403</f>
        <v>15622.865200000037</v>
      </c>
      <c r="U130" s="19">
        <f ca="1">Zalozenia!$W403*(Zalozenia!$W331-Zalozenia!$W438)/2</f>
        <v>83.065000000000197</v>
      </c>
      <c r="V130" s="19">
        <f ca="1">(Zalozenia!$N331-Zalozenia!$E438)*Zalozenia!$N403</f>
        <v>-10300.060000000003</v>
      </c>
      <c r="W130" s="74">
        <f t="shared" si="71"/>
        <v>312675.53236800194</v>
      </c>
      <c r="Y130" s="12"/>
      <c r="Z130" s="13">
        <f t="shared" si="65"/>
        <v>2030</v>
      </c>
      <c r="AA130" s="73">
        <f ca="1">Zalozenia!$I541</f>
        <v>57.839999999999996</v>
      </c>
      <c r="AB130" s="19">
        <f ca="1">(Zalozenia!$X331-Zalozenia!$X438)*Zalozenia!$AG403</f>
        <v>17029.966911999993</v>
      </c>
      <c r="AC130" s="19">
        <f ca="1">Zalozenia!$X403*(Zalozenia!$X331-Zalozenia!$X438)/2</f>
        <v>90.546399999999949</v>
      </c>
      <c r="AD130" s="19">
        <f ca="1">(Zalozenia!$O331-Zalozenia!$F438)*Zalozenia!$O403</f>
        <v>-11227.753599999996</v>
      </c>
      <c r="AE130" s="74">
        <f t="shared" si="72"/>
        <v>340837.22174207971</v>
      </c>
      <c r="AG130" s="12"/>
      <c r="AH130" s="13">
        <f t="shared" si="66"/>
        <v>2030</v>
      </c>
      <c r="AI130" s="73">
        <f ca="1">Zalozenia!$I541</f>
        <v>57.839999999999996</v>
      </c>
      <c r="AJ130" s="19">
        <f ca="1">(Zalozenia!$Y331-Zalozenia!$Y438)*Zalozenia!$AH403</f>
        <v>28767.287392000122</v>
      </c>
      <c r="AK130" s="19">
        <f ca="1">Zalozenia!$Y403*(Zalozenia!$Y331-Zalozenia!$Y438)/2</f>
        <v>152.95240000000064</v>
      </c>
      <c r="AL130" s="19">
        <f ca="1">(Zalozenia!$P331-Zalozenia!$G438)*Zalozenia!$P403</f>
        <v>-18966.097600000005</v>
      </c>
      <c r="AM130" s="74">
        <f t="shared" si="73"/>
        <v>575747.5843852869</v>
      </c>
      <c r="AO130" s="12"/>
      <c r="AP130" s="13">
        <f t="shared" si="67"/>
        <v>2030</v>
      </c>
      <c r="AQ130" s="73">
        <f ca="1">Zalozenia!$I541</f>
        <v>57.839999999999996</v>
      </c>
      <c r="AR130" s="19">
        <f ca="1">(Zalozenia!$Z331-Zalozenia!$Z438)*Zalozenia!$AI403</f>
        <v>0</v>
      </c>
      <c r="AS130" s="19">
        <f ca="1">Zalozenia!$Z403*(Zalozenia!$Z331-Zalozenia!$Z438)/2</f>
        <v>0</v>
      </c>
      <c r="AT130" s="19">
        <f ca="1">(Zalozenia!$Q331-Zalozenia!$H438)*Zalozenia!$Q403</f>
        <v>0</v>
      </c>
      <c r="AU130" s="74">
        <f t="shared" si="74"/>
        <v>0</v>
      </c>
      <c r="AW130" s="131">
        <f t="shared" si="75"/>
        <v>160213.4145091192</v>
      </c>
      <c r="AX130" s="131">
        <f t="shared" si="76"/>
        <v>610482.36729600187</v>
      </c>
      <c r="AY130" s="131">
        <f t="shared" si="77"/>
        <v>312675.53236800194</v>
      </c>
      <c r="AZ130" s="131">
        <f t="shared" si="78"/>
        <v>340837.22174207971</v>
      </c>
      <c r="BA130" s="131">
        <f t="shared" si="79"/>
        <v>575747.5843852869</v>
      </c>
      <c r="BB130" s="131">
        <f t="shared" si="80"/>
        <v>0</v>
      </c>
    </row>
    <row r="131" spans="1:54" s="4" customFormat="1" ht="10.5">
      <c r="A131" s="12"/>
      <c r="B131" s="13">
        <f t="shared" si="68"/>
        <v>2031</v>
      </c>
      <c r="C131" s="73">
        <f ca="1">Zalozenia!$I542</f>
        <v>59.000999999999998</v>
      </c>
      <c r="D131" s="19">
        <f ca="1">(Zalozenia!U332-Zalozenia!U439)*Zalozenia!AD404</f>
        <v>8061.680563199985</v>
      </c>
      <c r="E131" s="19">
        <f ca="1">Zalozenia!U404*(Zalozenia!U332-Zalozenia!U439)/2</f>
        <v>42.86303999999992</v>
      </c>
      <c r="F131" s="19">
        <f ca="1">(Zalozenia!L332-Zalozenia!C439)*Zalozenia!L404</f>
        <v>-5315.016959999999</v>
      </c>
      <c r="G131" s="74">
        <f t="shared" si="69"/>
        <v>164584.86147544239</v>
      </c>
      <c r="I131" s="12"/>
      <c r="J131" s="13">
        <f t="shared" si="63"/>
        <v>2031</v>
      </c>
      <c r="K131" s="73">
        <f ca="1">Zalozenia!$I542</f>
        <v>59.000999999999998</v>
      </c>
      <c r="L131" s="19">
        <f ca="1">(Zalozenia!$V332-Zalozenia!$V439)*Zalozenia!$AE404</f>
        <v>30682.242720000027</v>
      </c>
      <c r="M131" s="19">
        <f ca="1">Zalozenia!$V404*(Zalozenia!$V332-Zalozenia!$V439)/2</f>
        <v>163.13400000000016</v>
      </c>
      <c r="N131" s="19">
        <f ca="1">(Zalozenia!$M332-Zalozenia!$D439)*Zalozenia!$M404</f>
        <v>-20228.615999999995</v>
      </c>
      <c r="O131" s="74">
        <f t="shared" si="70"/>
        <v>626399.49924072204</v>
      </c>
      <c r="Q131" s="12"/>
      <c r="R131" s="13">
        <f t="shared" si="64"/>
        <v>2031</v>
      </c>
      <c r="S131" s="73">
        <f ca="1">Zalozenia!$I542</f>
        <v>59.000999999999998</v>
      </c>
      <c r="T131" s="19">
        <f ca="1">(Zalozenia!$W332-Zalozenia!$W439)*Zalozenia!$AF404</f>
        <v>15704.006673600035</v>
      </c>
      <c r="U131" s="19">
        <f ca="1">Zalozenia!$W404*(Zalozenia!$W332-Zalozenia!$W439)/2</f>
        <v>83.496420000000214</v>
      </c>
      <c r="V131" s="19">
        <f ca="1">(Zalozenia!$N332-Zalozenia!$E439)*Zalozenia!$N404</f>
        <v>-10353.556080000002</v>
      </c>
      <c r="W131" s="74">
        <f t="shared" si="71"/>
        <v>320608.30774941551</v>
      </c>
      <c r="Y131" s="12"/>
      <c r="Z131" s="13">
        <f t="shared" si="65"/>
        <v>2031</v>
      </c>
      <c r="AA131" s="73">
        <f ca="1">Zalozenia!$I542</f>
        <v>59.000999999999998</v>
      </c>
      <c r="AB131" s="19">
        <f ca="1">(Zalozenia!$X332-Zalozenia!$X439)*Zalozenia!$AG404</f>
        <v>17131.026057599993</v>
      </c>
      <c r="AC131" s="19">
        <f ca="1">Zalozenia!$X404*(Zalozenia!$X332-Zalozenia!$X439)/2</f>
        <v>91.083719999999957</v>
      </c>
      <c r="AD131" s="19">
        <f ca="1">(Zalozenia!$O332-Zalozenia!$F439)*Zalozenia!$O404</f>
        <v>-11294.381279999998</v>
      </c>
      <c r="AE131" s="74">
        <f t="shared" si="72"/>
        <v>349741.90908689721</v>
      </c>
      <c r="AG131" s="12"/>
      <c r="AH131" s="13">
        <f t="shared" si="66"/>
        <v>2031</v>
      </c>
      <c r="AI131" s="73">
        <f ca="1">Zalozenia!$I542</f>
        <v>59.000999999999998</v>
      </c>
      <c r="AJ131" s="19">
        <f ca="1">(Zalozenia!$Y332-Zalozenia!$Y439)*Zalozenia!$AH404</f>
        <v>28917.435417600125</v>
      </c>
      <c r="AK131" s="19">
        <f ca="1">Zalozenia!$Y404*(Zalozenia!$Y332-Zalozenia!$Y439)/2</f>
        <v>153.75072000000065</v>
      </c>
      <c r="AL131" s="19">
        <f ca="1">(Zalozenia!$P332-Zalozenia!$G439)*Zalozenia!$P404</f>
        <v>-19065.089280000004</v>
      </c>
      <c r="AM131" s="74">
        <f t="shared" si="73"/>
        <v>590369.72069526475</v>
      </c>
      <c r="AO131" s="12"/>
      <c r="AP131" s="13">
        <f t="shared" si="67"/>
        <v>2031</v>
      </c>
      <c r="AQ131" s="73">
        <f ca="1">Zalozenia!$I542</f>
        <v>59.000999999999998</v>
      </c>
      <c r="AR131" s="19">
        <f ca="1">(Zalozenia!$Z332-Zalozenia!$Z439)*Zalozenia!$AI404</f>
        <v>0</v>
      </c>
      <c r="AS131" s="19">
        <f ca="1">Zalozenia!$Z404*(Zalozenia!$Z332-Zalozenia!$Z439)/2</f>
        <v>0</v>
      </c>
      <c r="AT131" s="19">
        <f ca="1">(Zalozenia!$Q332-Zalozenia!$H439)*Zalozenia!$Q404</f>
        <v>0</v>
      </c>
      <c r="AU131" s="74">
        <f t="shared" si="74"/>
        <v>0</v>
      </c>
      <c r="AW131" s="131">
        <f t="shared" si="75"/>
        <v>164584.86147544239</v>
      </c>
      <c r="AX131" s="131">
        <f t="shared" si="76"/>
        <v>626399.49924072204</v>
      </c>
      <c r="AY131" s="131">
        <f t="shared" si="77"/>
        <v>320608.30774941551</v>
      </c>
      <c r="AZ131" s="131">
        <f t="shared" si="78"/>
        <v>349741.90908689721</v>
      </c>
      <c r="BA131" s="131">
        <f t="shared" si="79"/>
        <v>590369.72069526475</v>
      </c>
      <c r="BB131" s="131">
        <f t="shared" si="80"/>
        <v>0</v>
      </c>
    </row>
    <row r="132" spans="1:54" s="4" customFormat="1" ht="10.5">
      <c r="A132" s="12"/>
      <c r="B132" s="13">
        <f t="shared" si="68"/>
        <v>2032</v>
      </c>
      <c r="C132" s="73">
        <f ca="1">Zalozenia!$I543</f>
        <v>60.195</v>
      </c>
      <c r="D132" s="19">
        <f ca="1">(Zalozenia!U333-Zalozenia!U440)*Zalozenia!AD405</f>
        <v>8118.2813583999841</v>
      </c>
      <c r="E132" s="19">
        <f ca="1">Zalozenia!U405*(Zalozenia!U333-Zalozenia!U440)/2</f>
        <v>43.163979999999924</v>
      </c>
      <c r="F132" s="19">
        <f ca="1">(Zalozenia!L333-Zalozenia!C440)*Zalozenia!L405</f>
        <v>-5352.3335199999992</v>
      </c>
      <c r="G132" s="74">
        <f t="shared" si="69"/>
        <v>169094.48590858711</v>
      </c>
      <c r="I132" s="12"/>
      <c r="J132" s="13">
        <f t="shared" si="63"/>
        <v>2032</v>
      </c>
      <c r="K132" s="73">
        <f ca="1">Zalozenia!$I543</f>
        <v>60.195</v>
      </c>
      <c r="L132" s="19">
        <f ca="1">(Zalozenia!$V333-Zalozenia!$V440)*Zalozenia!$AE405</f>
        <v>30861.671040000027</v>
      </c>
      <c r="M132" s="19">
        <f ca="1">Zalozenia!$V405*(Zalozenia!$V333-Zalozenia!$V440)/2</f>
        <v>164.08800000000014</v>
      </c>
      <c r="N132" s="19">
        <f ca="1">(Zalozenia!$M333-Zalozenia!$D440)*Zalozenia!$M405</f>
        <v>-20346.911999999997</v>
      </c>
      <c r="O132" s="74">
        <f t="shared" si="70"/>
        <v>642813.19757280184</v>
      </c>
      <c r="Q132" s="12"/>
      <c r="R132" s="13">
        <f t="shared" si="64"/>
        <v>2032</v>
      </c>
      <c r="S132" s="73">
        <f ca="1">Zalozenia!$I543</f>
        <v>60.195</v>
      </c>
      <c r="T132" s="19">
        <f ca="1">(Zalozenia!$W333-Zalozenia!$W440)*Zalozenia!$AF405</f>
        <v>15785.148147200038</v>
      </c>
      <c r="U132" s="19">
        <f ca="1">Zalozenia!$W405*(Zalozenia!$W333-Zalozenia!$W440)/2</f>
        <v>83.927840000000202</v>
      </c>
      <c r="V132" s="19">
        <f ca="1">(Zalozenia!$N333-Zalozenia!$E440)*Zalozenia!$N405</f>
        <v>-10407.052160000003</v>
      </c>
      <c r="W132" s="74">
        <f t="shared" si="71"/>
        <v>328786.52427830611</v>
      </c>
      <c r="Y132" s="12"/>
      <c r="Z132" s="13">
        <f t="shared" si="65"/>
        <v>2032</v>
      </c>
      <c r="AA132" s="73">
        <f ca="1">Zalozenia!$I543</f>
        <v>60.195</v>
      </c>
      <c r="AB132" s="19">
        <f ca="1">(Zalozenia!$X333-Zalozenia!$X440)*Zalozenia!$AG405</f>
        <v>17232.085203199993</v>
      </c>
      <c r="AC132" s="19">
        <f ca="1">Zalozenia!$X405*(Zalozenia!$X333-Zalozenia!$X440)/2</f>
        <v>91.621039999999951</v>
      </c>
      <c r="AD132" s="19">
        <f ca="1">(Zalozenia!$O333-Zalozenia!$F440)*Zalozenia!$O405</f>
        <v>-11361.008959999997</v>
      </c>
      <c r="AE132" s="74">
        <f t="shared" si="72"/>
        <v>358924.5629622236</v>
      </c>
      <c r="AG132" s="12"/>
      <c r="AH132" s="13">
        <f t="shared" si="66"/>
        <v>2032</v>
      </c>
      <c r="AI132" s="73">
        <f ca="1">Zalozenia!$I543</f>
        <v>60.195</v>
      </c>
      <c r="AJ132" s="19">
        <f ca="1">(Zalozenia!$Y333-Zalozenia!$Y440)*Zalozenia!$AH405</f>
        <v>29067.583443200125</v>
      </c>
      <c r="AK132" s="19">
        <f ca="1">Zalozenia!$Y405*(Zalozenia!$Y333-Zalozenia!$Y440)/2</f>
        <v>154.54904000000064</v>
      </c>
      <c r="AL132" s="19">
        <f ca="1">(Zalozenia!$P333-Zalozenia!$G440)*Zalozenia!$P405</f>
        <v>-19164.080960000003</v>
      </c>
      <c r="AM132" s="74">
        <f t="shared" si="73"/>
        <v>605444.41143903148</v>
      </c>
      <c r="AO132" s="12"/>
      <c r="AP132" s="13">
        <f t="shared" si="67"/>
        <v>2032</v>
      </c>
      <c r="AQ132" s="73">
        <f ca="1">Zalozenia!$I543</f>
        <v>60.195</v>
      </c>
      <c r="AR132" s="19">
        <f ca="1">(Zalozenia!$Z333-Zalozenia!$Z440)*Zalozenia!$AI405</f>
        <v>0</v>
      </c>
      <c r="AS132" s="19">
        <f ca="1">Zalozenia!$Z405*(Zalozenia!$Z333-Zalozenia!$Z440)/2</f>
        <v>0</v>
      </c>
      <c r="AT132" s="19">
        <f ca="1">(Zalozenia!$Q333-Zalozenia!$H440)*Zalozenia!$Q405</f>
        <v>0</v>
      </c>
      <c r="AU132" s="74">
        <f t="shared" si="74"/>
        <v>0</v>
      </c>
      <c r="AW132" s="131">
        <f t="shared" si="75"/>
        <v>169094.48590858711</v>
      </c>
      <c r="AX132" s="131">
        <f t="shared" si="76"/>
        <v>642813.19757280184</v>
      </c>
      <c r="AY132" s="131">
        <f t="shared" si="77"/>
        <v>328786.52427830611</v>
      </c>
      <c r="AZ132" s="131">
        <f t="shared" si="78"/>
        <v>358924.5629622236</v>
      </c>
      <c r="BA132" s="131">
        <f t="shared" si="79"/>
        <v>605444.41143903148</v>
      </c>
      <c r="BB132" s="131">
        <f t="shared" si="80"/>
        <v>0</v>
      </c>
    </row>
    <row r="133" spans="1:54" s="4" customFormat="1" ht="10.5">
      <c r="A133" s="12"/>
      <c r="B133" s="13">
        <f t="shared" si="68"/>
        <v>2033</v>
      </c>
      <c r="C133" s="73">
        <f ca="1">Zalozenia!$I544</f>
        <v>61</v>
      </c>
      <c r="D133" s="19">
        <f ca="1">(Zalozenia!U334-Zalozenia!U441)*Zalozenia!AD406</f>
        <v>8174.882153599985</v>
      </c>
      <c r="E133" s="19">
        <f ca="1">Zalozenia!U406*(Zalozenia!U334-Zalozenia!U441)/2</f>
        <v>43.464919999999921</v>
      </c>
      <c r="F133" s="19">
        <f ca="1">(Zalozenia!L334-Zalozenia!C441)*Zalozenia!L406</f>
        <v>-5389.6500799999985</v>
      </c>
      <c r="G133" s="74">
        <f t="shared" si="69"/>
        <v>172550.5166095992</v>
      </c>
      <c r="I133" s="12"/>
      <c r="J133" s="13">
        <f t="shared" si="63"/>
        <v>2033</v>
      </c>
      <c r="K133" s="73">
        <f ca="1">Zalozenia!$I544</f>
        <v>61</v>
      </c>
      <c r="L133" s="19">
        <f ca="1">(Zalozenia!$V334-Zalozenia!$V441)*Zalozenia!$AE406</f>
        <v>31041.099360000029</v>
      </c>
      <c r="M133" s="19">
        <f ca="1">Zalozenia!$V406*(Zalozenia!$V334-Zalozenia!$V441)/2</f>
        <v>165.04200000000014</v>
      </c>
      <c r="N133" s="19">
        <f ca="1">(Zalozenia!$M334-Zalozenia!$D441)*Zalozenia!$M406</f>
        <v>-20465.207999999999</v>
      </c>
      <c r="O133" s="74">
        <f t="shared" si="70"/>
        <v>655196.93496000196</v>
      </c>
      <c r="Q133" s="12"/>
      <c r="R133" s="13">
        <f t="shared" si="64"/>
        <v>2033</v>
      </c>
      <c r="S133" s="73">
        <f ca="1">Zalozenia!$I544</f>
        <v>61</v>
      </c>
      <c r="T133" s="19">
        <f ca="1">(Zalozenia!$W334-Zalozenia!$W441)*Zalozenia!$AF406</f>
        <v>15866.28962080004</v>
      </c>
      <c r="U133" s="19">
        <f ca="1">Zalozenia!$W406*(Zalozenia!$W334-Zalozenia!$W441)/2</f>
        <v>84.359260000000205</v>
      </c>
      <c r="V133" s="19">
        <f ca="1">(Zalozenia!$N334-Zalozenia!$E441)*Zalozenia!$N406</f>
        <v>-10460.548240000004</v>
      </c>
      <c r="W133" s="74">
        <f t="shared" si="71"/>
        <v>334896.13908880227</v>
      </c>
      <c r="Y133" s="12"/>
      <c r="Z133" s="13">
        <f t="shared" si="65"/>
        <v>2033</v>
      </c>
      <c r="AA133" s="73">
        <f ca="1">Zalozenia!$I544</f>
        <v>61</v>
      </c>
      <c r="AB133" s="19">
        <f ca="1">(Zalozenia!$X334-Zalozenia!$X441)*Zalozenia!$AG406</f>
        <v>17333.14434879999</v>
      </c>
      <c r="AC133" s="19">
        <f ca="1">Zalozenia!$X406*(Zalozenia!$X334-Zalozenia!$X441)/2</f>
        <v>92.158359999999945</v>
      </c>
      <c r="AD133" s="19">
        <f ca="1">(Zalozenia!$O334-Zalozenia!$F441)*Zalozenia!$O406</f>
        <v>-11427.636639999997</v>
      </c>
      <c r="AE133" s="74">
        <f t="shared" si="72"/>
        <v>365857.63019679964</v>
      </c>
      <c r="AG133" s="12"/>
      <c r="AH133" s="13">
        <f t="shared" si="66"/>
        <v>2033</v>
      </c>
      <c r="AI133" s="73">
        <f ca="1">Zalozenia!$I544</f>
        <v>61</v>
      </c>
      <c r="AJ133" s="19">
        <f ca="1">(Zalozenia!$Y334-Zalozenia!$Y441)*Zalozenia!$AH406</f>
        <v>29217.731468800121</v>
      </c>
      <c r="AK133" s="19">
        <f ca="1">Zalozenia!$Y406*(Zalozenia!$Y334-Zalozenia!$Y441)/2</f>
        <v>155.34736000000066</v>
      </c>
      <c r="AL133" s="19">
        <f ca="1">(Zalozenia!$P334-Zalozenia!$G441)*Zalozenia!$P406</f>
        <v>-19263.072640000002</v>
      </c>
      <c r="AM133" s="74">
        <f t="shared" si="73"/>
        <v>616710.37751680717</v>
      </c>
      <c r="AO133" s="12"/>
      <c r="AP133" s="13">
        <f t="shared" si="67"/>
        <v>2033</v>
      </c>
      <c r="AQ133" s="73">
        <f ca="1">Zalozenia!$I544</f>
        <v>61</v>
      </c>
      <c r="AR133" s="19">
        <f ca="1">(Zalozenia!$Z334-Zalozenia!$Z441)*Zalozenia!$AI406</f>
        <v>0</v>
      </c>
      <c r="AS133" s="19">
        <f ca="1">Zalozenia!$Z406*(Zalozenia!$Z334-Zalozenia!$Z441)/2</f>
        <v>0</v>
      </c>
      <c r="AT133" s="19">
        <f ca="1">(Zalozenia!$Q334-Zalozenia!$H441)*Zalozenia!$Q406</f>
        <v>0</v>
      </c>
      <c r="AU133" s="74">
        <f t="shared" si="74"/>
        <v>0</v>
      </c>
      <c r="AW133" s="131">
        <f t="shared" si="75"/>
        <v>172550.5166095992</v>
      </c>
      <c r="AX133" s="131">
        <f t="shared" si="76"/>
        <v>655196.93496000196</v>
      </c>
      <c r="AY133" s="131">
        <f t="shared" si="77"/>
        <v>334896.13908880227</v>
      </c>
      <c r="AZ133" s="131">
        <f t="shared" si="78"/>
        <v>365857.63019679964</v>
      </c>
      <c r="BA133" s="131">
        <f t="shared" si="79"/>
        <v>616710.37751680717</v>
      </c>
      <c r="BB133" s="131">
        <f t="shared" si="80"/>
        <v>0</v>
      </c>
    </row>
    <row r="134" spans="1:54" s="4" customFormat="1" ht="10.5">
      <c r="A134" s="12"/>
      <c r="B134" s="13">
        <f t="shared" si="68"/>
        <v>2034</v>
      </c>
      <c r="C134" s="73">
        <f ca="1">Zalozenia!$I545</f>
        <v>61.819000000000003</v>
      </c>
      <c r="D134" s="19">
        <f ca="1">(Zalozenia!U335-Zalozenia!U442)*Zalozenia!AD407</f>
        <v>8231.482948799985</v>
      </c>
      <c r="E134" s="19">
        <f ca="1">Zalozenia!U407*(Zalozenia!U335-Zalozenia!U442)/2</f>
        <v>43.765859999999925</v>
      </c>
      <c r="F134" s="19">
        <f ca="1">(Zalozenia!L335-Zalozenia!C442)*Zalozenia!L407</f>
        <v>-5426.9666399999987</v>
      </c>
      <c r="G134" s="74">
        <f t="shared" si="69"/>
        <v>176077.95539304634</v>
      </c>
      <c r="I134" s="12"/>
      <c r="J134" s="13">
        <f t="shared" si="63"/>
        <v>2034</v>
      </c>
      <c r="K134" s="73">
        <f ca="1">Zalozenia!$I545</f>
        <v>61.819000000000003</v>
      </c>
      <c r="L134" s="19">
        <f ca="1">(Zalozenia!$V335-Zalozenia!$V442)*Zalozenia!$AE407</f>
        <v>31220.527680000028</v>
      </c>
      <c r="M134" s="19">
        <f ca="1">Zalozenia!$V407*(Zalozenia!$V335-Zalozenia!$V442)/2</f>
        <v>165.99600000000015</v>
      </c>
      <c r="N134" s="19">
        <f ca="1">(Zalozenia!$M335-Zalozenia!$D442)*Zalozenia!$M407</f>
        <v>-20583.503999999997</v>
      </c>
      <c r="O134" s="74">
        <f t="shared" si="70"/>
        <v>667831.87359792192</v>
      </c>
      <c r="Q134" s="12"/>
      <c r="R134" s="13">
        <f t="shared" si="64"/>
        <v>2034</v>
      </c>
      <c r="S134" s="73">
        <f ca="1">Zalozenia!$I545</f>
        <v>61.819000000000003</v>
      </c>
      <c r="T134" s="19">
        <f ca="1">(Zalozenia!$W335-Zalozenia!$W442)*Zalozenia!$AF407</f>
        <v>15947.431094400039</v>
      </c>
      <c r="U134" s="19">
        <f ca="1">Zalozenia!$W407*(Zalozenia!$W335-Zalozenia!$W442)/2</f>
        <v>84.790680000000208</v>
      </c>
      <c r="V134" s="19">
        <f ca="1">(Zalozenia!$N335-Zalozenia!$E442)*Zalozenia!$N407</f>
        <v>-10514.044320000003</v>
      </c>
      <c r="W134" s="74">
        <f t="shared" si="71"/>
        <v>341128.21205355588</v>
      </c>
      <c r="Y134" s="12"/>
      <c r="Z134" s="13">
        <f t="shared" si="65"/>
        <v>2034</v>
      </c>
      <c r="AA134" s="73">
        <f ca="1">Zalozenia!$I545</f>
        <v>61.819000000000003</v>
      </c>
      <c r="AB134" s="19">
        <f ca="1">(Zalozenia!$X335-Zalozenia!$X442)*Zalozenia!$AG407</f>
        <v>17434.20349439999</v>
      </c>
      <c r="AC134" s="19">
        <f ca="1">Zalozenia!$X407*(Zalozenia!$X335-Zalozenia!$X442)/2</f>
        <v>92.695679999999953</v>
      </c>
      <c r="AD134" s="19">
        <f ca="1">(Zalozenia!$O335-Zalozenia!$F442)*Zalozenia!$O407</f>
        <v>-11494.264319999997</v>
      </c>
      <c r="AE134" s="74">
        <f t="shared" si="72"/>
        <v>372931.45406415325</v>
      </c>
      <c r="AG134" s="12"/>
      <c r="AH134" s="13">
        <f t="shared" si="66"/>
        <v>2034</v>
      </c>
      <c r="AI134" s="73">
        <f ca="1">Zalozenia!$I545</f>
        <v>61.819000000000003</v>
      </c>
      <c r="AJ134" s="19">
        <f ca="1">(Zalozenia!$Y335-Zalozenia!$Y442)*Zalozenia!$AH407</f>
        <v>29367.879494400124</v>
      </c>
      <c r="AK134" s="19">
        <f ca="1">Zalozenia!$Y407*(Zalozenia!$Y335-Zalozenia!$Y442)/2</f>
        <v>156.14568000000065</v>
      </c>
      <c r="AL134" s="19">
        <f ca="1">(Zalozenia!$P335-Zalozenia!$G442)*Zalozenia!$P407</f>
        <v>-19362.064320000005</v>
      </c>
      <c r="AM134" s="74">
        <f t="shared" si="73"/>
        <v>628202.25805816101</v>
      </c>
      <c r="AO134" s="12"/>
      <c r="AP134" s="13">
        <f t="shared" si="67"/>
        <v>2034</v>
      </c>
      <c r="AQ134" s="73">
        <f ca="1">Zalozenia!$I545</f>
        <v>61.819000000000003</v>
      </c>
      <c r="AR134" s="19">
        <f ca="1">(Zalozenia!$Z335-Zalozenia!$Z442)*Zalozenia!$AI407</f>
        <v>0</v>
      </c>
      <c r="AS134" s="19">
        <f ca="1">Zalozenia!$Z407*(Zalozenia!$Z335-Zalozenia!$Z442)/2</f>
        <v>0</v>
      </c>
      <c r="AT134" s="19">
        <f ca="1">(Zalozenia!$Q335-Zalozenia!$H442)*Zalozenia!$Q407</f>
        <v>0</v>
      </c>
      <c r="AU134" s="74">
        <f t="shared" si="74"/>
        <v>0</v>
      </c>
      <c r="AW134" s="131">
        <f t="shared" si="75"/>
        <v>176077.95539304634</v>
      </c>
      <c r="AX134" s="131">
        <f t="shared" si="76"/>
        <v>667831.87359792192</v>
      </c>
      <c r="AY134" s="131">
        <f t="shared" si="77"/>
        <v>341128.21205355588</v>
      </c>
      <c r="AZ134" s="131">
        <f t="shared" si="78"/>
        <v>372931.45406415325</v>
      </c>
      <c r="BA134" s="131">
        <f t="shared" si="79"/>
        <v>628202.25805816101</v>
      </c>
      <c r="BB134" s="131">
        <f t="shared" si="80"/>
        <v>0</v>
      </c>
    </row>
    <row r="135" spans="1:54" s="4" customFormat="1" ht="10.5">
      <c r="A135" s="12"/>
      <c r="B135" s="13">
        <f t="shared" si="68"/>
        <v>2035</v>
      </c>
      <c r="C135" s="73">
        <f ca="1">Zalozenia!$I546</f>
        <v>62.658000000000001</v>
      </c>
      <c r="D135" s="19">
        <f ca="1">(Zalozenia!U336-Zalozenia!U443)*Zalozenia!AD408</f>
        <v>8288.083743999985</v>
      </c>
      <c r="E135" s="19">
        <f ca="1">Zalozenia!U408*(Zalozenia!U336-Zalozenia!U443)/2</f>
        <v>44.066799999999922</v>
      </c>
      <c r="F135" s="19">
        <f ca="1">(Zalozenia!L336-Zalozenia!C443)*Zalozenia!L408</f>
        <v>-5464.2831999999989</v>
      </c>
      <c r="G135" s="74">
        <f t="shared" si="69"/>
        <v>179694.83204035118</v>
      </c>
      <c r="I135" s="12"/>
      <c r="J135" s="13">
        <f t="shared" si="63"/>
        <v>2035</v>
      </c>
      <c r="K135" s="73">
        <f ca="1">Zalozenia!$I546</f>
        <v>62.658000000000001</v>
      </c>
      <c r="L135" s="19">
        <f ca="1">(Zalozenia!$V336-Zalozenia!$V443)*Zalozenia!$AE408</f>
        <v>31399.956000000027</v>
      </c>
      <c r="M135" s="19">
        <f ca="1">Zalozenia!$V408*(Zalozenia!$V336-Zalozenia!$V443)/2</f>
        <v>166.95000000000016</v>
      </c>
      <c r="N135" s="19">
        <f ca="1">(Zalozenia!$M336-Zalozenia!$D443)*Zalozenia!$M408</f>
        <v>-20701.8</v>
      </c>
      <c r="O135" s="74">
        <f t="shared" si="70"/>
        <v>680785.81174800184</v>
      </c>
      <c r="Q135" s="12"/>
      <c r="R135" s="13">
        <f t="shared" si="64"/>
        <v>2035</v>
      </c>
      <c r="S135" s="73">
        <f ca="1">Zalozenia!$I546</f>
        <v>62.658000000000001</v>
      </c>
      <c r="T135" s="19">
        <f ca="1">(Zalozenia!$W336-Zalozenia!$W443)*Zalozenia!$AF408</f>
        <v>16028.572568000038</v>
      </c>
      <c r="U135" s="19">
        <f ca="1">Zalozenia!$W408*(Zalozenia!$W336-Zalozenia!$W443)/2</f>
        <v>85.222100000000196</v>
      </c>
      <c r="V135" s="19">
        <f ca="1">(Zalozenia!$N336-Zalozenia!$E443)*Zalozenia!$N408</f>
        <v>-10567.540400000002</v>
      </c>
      <c r="W135" s="74">
        <f t="shared" si="71"/>
        <v>347517.19992434635</v>
      </c>
      <c r="Y135" s="12"/>
      <c r="Z135" s="13">
        <f t="shared" si="65"/>
        <v>2035</v>
      </c>
      <c r="AA135" s="73">
        <f ca="1">Zalozenia!$I546</f>
        <v>62.658000000000001</v>
      </c>
      <c r="AB135" s="19">
        <f ca="1">(Zalozenia!$X336-Zalozenia!$X443)*Zalozenia!$AG408</f>
        <v>17535.26263999999</v>
      </c>
      <c r="AC135" s="19">
        <f ca="1">Zalozenia!$X408*(Zalozenia!$X336-Zalozenia!$X443)/2</f>
        <v>93.232999999999947</v>
      </c>
      <c r="AD135" s="19">
        <f ca="1">(Zalozenia!$O336-Zalozenia!$F443)*Zalozenia!$O408</f>
        <v>-11560.891999999996</v>
      </c>
      <c r="AE135" s="74">
        <f t="shared" si="72"/>
        <v>380183.90887511964</v>
      </c>
      <c r="AG135" s="12"/>
      <c r="AH135" s="13">
        <f t="shared" si="66"/>
        <v>2035</v>
      </c>
      <c r="AI135" s="73">
        <f ca="1">Zalozenia!$I546</f>
        <v>62.658000000000001</v>
      </c>
      <c r="AJ135" s="19">
        <f ca="1">(Zalozenia!$Y336-Zalozenia!$Y443)*Zalozenia!$AH408</f>
        <v>29518.027520000123</v>
      </c>
      <c r="AK135" s="19">
        <f ca="1">Zalozenia!$Y408*(Zalozenia!$Y336-Zalozenia!$Y443)/2</f>
        <v>156.94400000000064</v>
      </c>
      <c r="AL135" s="19">
        <f ca="1">(Zalozenia!$P336-Zalozenia!$G443)*Zalozenia!$P408</f>
        <v>-19461.056000000004</v>
      </c>
      <c r="AM135" s="74">
        <f t="shared" si="73"/>
        <v>639983.5186521674</v>
      </c>
      <c r="AO135" s="12"/>
      <c r="AP135" s="13">
        <f t="shared" si="67"/>
        <v>2035</v>
      </c>
      <c r="AQ135" s="73">
        <f ca="1">Zalozenia!$I546</f>
        <v>62.658000000000001</v>
      </c>
      <c r="AR135" s="19">
        <f ca="1">(Zalozenia!$Z336-Zalozenia!$Z443)*Zalozenia!$AI408</f>
        <v>0</v>
      </c>
      <c r="AS135" s="19">
        <f ca="1">Zalozenia!$Z408*(Zalozenia!$Z336-Zalozenia!$Z443)/2</f>
        <v>0</v>
      </c>
      <c r="AT135" s="19">
        <f ca="1">(Zalozenia!$Q336-Zalozenia!$H443)*Zalozenia!$Q408</f>
        <v>0</v>
      </c>
      <c r="AU135" s="74">
        <f t="shared" si="74"/>
        <v>0</v>
      </c>
      <c r="AW135" s="131">
        <f t="shared" si="75"/>
        <v>179694.83204035118</v>
      </c>
      <c r="AX135" s="131">
        <f t="shared" si="76"/>
        <v>680785.81174800184</v>
      </c>
      <c r="AY135" s="131">
        <f t="shared" si="77"/>
        <v>347517.19992434635</v>
      </c>
      <c r="AZ135" s="131">
        <f t="shared" si="78"/>
        <v>380183.90887511964</v>
      </c>
      <c r="BA135" s="131">
        <f t="shared" si="79"/>
        <v>639983.5186521674</v>
      </c>
      <c r="BB135" s="131">
        <f t="shared" si="80"/>
        <v>0</v>
      </c>
    </row>
    <row r="136" spans="1:54" s="4" customFormat="1" ht="10.5">
      <c r="A136" s="12"/>
      <c r="B136" s="13">
        <f t="shared" si="68"/>
        <v>2036</v>
      </c>
      <c r="C136" s="73">
        <f ca="1">Zalozenia!$I547</f>
        <v>63.508000000000003</v>
      </c>
      <c r="D136" s="19">
        <f ca="1">(Zalozenia!U337-Zalozenia!U444)*Zalozenia!AD409</f>
        <v>8344.684539199985</v>
      </c>
      <c r="E136" s="19">
        <f ca="1">Zalozenia!U409*(Zalozenia!U337-Zalozenia!U444)/2</f>
        <v>44.36773999999992</v>
      </c>
      <c r="F136" s="19">
        <f ca="1">(Zalozenia!L337-Zalozenia!C444)*Zalozenia!L409</f>
        <v>-5501.5997599999992</v>
      </c>
      <c r="G136" s="74">
        <f t="shared" si="69"/>
        <v>183376.33458935269</v>
      </c>
      <c r="I136" s="12"/>
      <c r="J136" s="13">
        <f t="shared" si="63"/>
        <v>2036</v>
      </c>
      <c r="K136" s="73">
        <f ca="1">Zalozenia!$I547</f>
        <v>63.508000000000003</v>
      </c>
      <c r="L136" s="19">
        <f ca="1">(Zalozenia!$V337-Zalozenia!$V444)*Zalozenia!$AE409</f>
        <v>31579.384320000026</v>
      </c>
      <c r="M136" s="19">
        <f ca="1">Zalozenia!$V409*(Zalozenia!$V337-Zalozenia!$V444)/2</f>
        <v>167.90400000000014</v>
      </c>
      <c r="N136" s="19">
        <f ca="1">(Zalozenia!$M337-Zalozenia!$D444)*Zalozenia!$M409</f>
        <v>-20820.095999999998</v>
      </c>
      <c r="O136" s="74">
        <f t="shared" si="70"/>
        <v>693964.12985856179</v>
      </c>
      <c r="Q136" s="12"/>
      <c r="R136" s="13">
        <f t="shared" si="64"/>
        <v>2036</v>
      </c>
      <c r="S136" s="73">
        <f ca="1">Zalozenia!$I547</f>
        <v>63.508000000000003</v>
      </c>
      <c r="T136" s="19">
        <f ca="1">(Zalozenia!$W337-Zalozenia!$W444)*Zalozenia!$AF409</f>
        <v>16109.714041600038</v>
      </c>
      <c r="U136" s="19">
        <f ca="1">Zalozenia!$W409*(Zalozenia!$W337-Zalozenia!$W444)/2</f>
        <v>85.653520000000213</v>
      </c>
      <c r="V136" s="19">
        <f ca="1">(Zalozenia!$N337-Zalozenia!$E444)*Zalozenia!$N409</f>
        <v>-10621.036480000002</v>
      </c>
      <c r="W136" s="74">
        <f t="shared" si="71"/>
        <v>354014.61833025509</v>
      </c>
      <c r="Y136" s="12"/>
      <c r="Z136" s="13">
        <f t="shared" si="65"/>
        <v>2036</v>
      </c>
      <c r="AA136" s="73">
        <f ca="1">Zalozenia!$I547</f>
        <v>63.508000000000003</v>
      </c>
      <c r="AB136" s="19">
        <f ca="1">(Zalozenia!$X337-Zalozenia!$X444)*Zalozenia!$AG409</f>
        <v>17636.32178559999</v>
      </c>
      <c r="AC136" s="19">
        <f ca="1">Zalozenia!$X409*(Zalozenia!$X337-Zalozenia!$X444)/2</f>
        <v>93.770319999999955</v>
      </c>
      <c r="AD136" s="19">
        <f ca="1">(Zalozenia!$O337-Zalozenia!$F444)*Zalozenia!$O409</f>
        <v>-11627.519679999996</v>
      </c>
      <c r="AE136" s="74">
        <f t="shared" si="72"/>
        <v>387562.16960500443</v>
      </c>
      <c r="AG136" s="12"/>
      <c r="AH136" s="13">
        <f t="shared" si="66"/>
        <v>2036</v>
      </c>
      <c r="AI136" s="73">
        <f ca="1">Zalozenia!$I547</f>
        <v>63.508000000000003</v>
      </c>
      <c r="AJ136" s="19">
        <f ca="1">(Zalozenia!$Y337-Zalozenia!$Y444)*Zalozenia!$AH409</f>
        <v>29668.175545600126</v>
      </c>
      <c r="AK136" s="19">
        <f ca="1">Zalozenia!$Y409*(Zalozenia!$Y337-Zalozenia!$Y444)/2</f>
        <v>157.74232000000066</v>
      </c>
      <c r="AL136" s="19">
        <f ca="1">(Zalozenia!$P337-Zalozenia!$G444)*Zalozenia!$P409</f>
        <v>-19560.047680000003</v>
      </c>
      <c r="AM136" s="74">
        <f t="shared" si="73"/>
        <v>651964.88374709268</v>
      </c>
      <c r="AO136" s="12"/>
      <c r="AP136" s="13">
        <f t="shared" si="67"/>
        <v>2036</v>
      </c>
      <c r="AQ136" s="73">
        <f ca="1">Zalozenia!$I547</f>
        <v>63.508000000000003</v>
      </c>
      <c r="AR136" s="19">
        <f ca="1">(Zalozenia!$Z337-Zalozenia!$Z444)*Zalozenia!$AI409</f>
        <v>0</v>
      </c>
      <c r="AS136" s="19">
        <f ca="1">Zalozenia!$Z409*(Zalozenia!$Z337-Zalozenia!$Z444)/2</f>
        <v>0</v>
      </c>
      <c r="AT136" s="19">
        <f ca="1">(Zalozenia!$Q337-Zalozenia!$H444)*Zalozenia!$Q409</f>
        <v>0</v>
      </c>
      <c r="AU136" s="74">
        <f t="shared" si="74"/>
        <v>0</v>
      </c>
      <c r="AW136" s="131">
        <f t="shared" si="75"/>
        <v>183376.33458935269</v>
      </c>
      <c r="AX136" s="131">
        <f t="shared" si="76"/>
        <v>693964.12985856179</v>
      </c>
      <c r="AY136" s="131">
        <f t="shared" si="77"/>
        <v>354014.61833025509</v>
      </c>
      <c r="AZ136" s="131">
        <f t="shared" si="78"/>
        <v>387562.16960500443</v>
      </c>
      <c r="BA136" s="131">
        <f t="shared" si="79"/>
        <v>651964.88374709268</v>
      </c>
      <c r="BB136" s="131">
        <f t="shared" si="80"/>
        <v>0</v>
      </c>
    </row>
    <row r="137" spans="1:54" s="4" customFormat="1" ht="10.5">
      <c r="A137" s="12"/>
      <c r="B137" s="13">
        <f t="shared" si="68"/>
        <v>2037</v>
      </c>
      <c r="C137" s="73">
        <f ca="1">Zalozenia!$I548</f>
        <v>64.381</v>
      </c>
      <c r="D137" s="19">
        <f ca="1">(Zalozenia!U338-Zalozenia!U445)*Zalozenia!AD410</f>
        <v>8401.285334399985</v>
      </c>
      <c r="E137" s="19">
        <f ca="1">Zalozenia!U410*(Zalozenia!U338-Zalozenia!U445)/2</f>
        <v>44.668679999999924</v>
      </c>
      <c r="F137" s="19">
        <f ca="1">(Zalozenia!L338-Zalozenia!C445)*Zalozenia!L410</f>
        <v>-5538.9163199999984</v>
      </c>
      <c r="G137" s="74">
        <f t="shared" si="69"/>
        <v>187157.99380316559</v>
      </c>
      <c r="I137" s="12"/>
      <c r="J137" s="13">
        <f t="shared" si="63"/>
        <v>2037</v>
      </c>
      <c r="K137" s="73">
        <f ca="1">Zalozenia!$I548</f>
        <v>64.381</v>
      </c>
      <c r="L137" s="19">
        <f ca="1">(Zalozenia!$V338-Zalozenia!$V445)*Zalozenia!$AE410</f>
        <v>31758.812640000029</v>
      </c>
      <c r="M137" s="19">
        <f ca="1">Zalozenia!$V410*(Zalozenia!$V338-Zalozenia!$V445)/2</f>
        <v>168.85800000000015</v>
      </c>
      <c r="N137" s="19">
        <f ca="1">(Zalozenia!$M338-Zalozenia!$D445)*Zalozenia!$M410</f>
        <v>-20938.391999999996</v>
      </c>
      <c r="O137" s="74">
        <f t="shared" si="70"/>
        <v>707500.74812184216</v>
      </c>
      <c r="Q137" s="12"/>
      <c r="R137" s="13">
        <f t="shared" si="64"/>
        <v>2037</v>
      </c>
      <c r="S137" s="73">
        <f ca="1">Zalozenia!$I548</f>
        <v>64.381</v>
      </c>
      <c r="T137" s="19">
        <f ca="1">(Zalozenia!$W338-Zalozenia!$W445)*Zalozenia!$AF410</f>
        <v>16190.855515200037</v>
      </c>
      <c r="U137" s="19">
        <f ca="1">Zalozenia!$W410*(Zalozenia!$W338-Zalozenia!$W445)/2</f>
        <v>86.084940000000202</v>
      </c>
      <c r="V137" s="19">
        <f ca="1">(Zalozenia!$N338-Zalozenia!$E445)*Zalozenia!$N410</f>
        <v>-10674.532560000003</v>
      </c>
      <c r="W137" s="74">
        <f t="shared" si="71"/>
        <v>360688.62270087341</v>
      </c>
      <c r="Y137" s="12"/>
      <c r="Z137" s="13">
        <f t="shared" si="65"/>
        <v>2037</v>
      </c>
      <c r="AA137" s="73">
        <f ca="1">Zalozenia!$I548</f>
        <v>64.381</v>
      </c>
      <c r="AB137" s="19">
        <f ca="1">(Zalozenia!$X338-Zalozenia!$X445)*Zalozenia!$AG410</f>
        <v>17737.38093119999</v>
      </c>
      <c r="AC137" s="19">
        <f ca="1">Zalozenia!$X410*(Zalozenia!$X338-Zalozenia!$X445)/2</f>
        <v>94.30763999999995</v>
      </c>
      <c r="AD137" s="19">
        <f ca="1">(Zalozenia!$O338-Zalozenia!$F445)*Zalozenia!$O410</f>
        <v>-11694.147359999997</v>
      </c>
      <c r="AE137" s="74">
        <f t="shared" si="72"/>
        <v>395141.04071826668</v>
      </c>
      <c r="AG137" s="12"/>
      <c r="AH137" s="13">
        <f t="shared" si="66"/>
        <v>2037</v>
      </c>
      <c r="AI137" s="73">
        <f ca="1">Zalozenia!$I548</f>
        <v>64.381</v>
      </c>
      <c r="AJ137" s="19">
        <f ca="1">(Zalozenia!$Y338-Zalozenia!$Y445)*Zalozenia!$AH410</f>
        <v>29818.32357120013</v>
      </c>
      <c r="AK137" s="19">
        <f ca="1">Zalozenia!$Y410*(Zalozenia!$Y338-Zalozenia!$Y445)/2</f>
        <v>158.54064000000065</v>
      </c>
      <c r="AL137" s="19">
        <f ca="1">(Zalozenia!$P338-Zalozenia!$G445)*Zalozenia!$P410</f>
        <v>-19659.039360000002</v>
      </c>
      <c r="AM137" s="74">
        <f t="shared" si="73"/>
        <v>664271.88174511539</v>
      </c>
      <c r="AO137" s="12"/>
      <c r="AP137" s="13">
        <f t="shared" si="67"/>
        <v>2037</v>
      </c>
      <c r="AQ137" s="73">
        <f ca="1">Zalozenia!$I548</f>
        <v>64.381</v>
      </c>
      <c r="AR137" s="19">
        <f ca="1">(Zalozenia!$Z338-Zalozenia!$Z445)*Zalozenia!$AI410</f>
        <v>0</v>
      </c>
      <c r="AS137" s="19">
        <f ca="1">Zalozenia!$Z410*(Zalozenia!$Z338-Zalozenia!$Z445)/2</f>
        <v>0</v>
      </c>
      <c r="AT137" s="19">
        <f ca="1">(Zalozenia!$Q338-Zalozenia!$H445)*Zalozenia!$Q410</f>
        <v>0</v>
      </c>
      <c r="AU137" s="74">
        <f t="shared" si="74"/>
        <v>0</v>
      </c>
      <c r="AW137" s="131">
        <f t="shared" si="75"/>
        <v>187157.99380316559</v>
      </c>
      <c r="AX137" s="131">
        <f t="shared" si="76"/>
        <v>707500.74812184216</v>
      </c>
      <c r="AY137" s="131">
        <f t="shared" si="77"/>
        <v>360688.62270087341</v>
      </c>
      <c r="AZ137" s="131">
        <f t="shared" si="78"/>
        <v>395141.04071826668</v>
      </c>
      <c r="BA137" s="131">
        <f t="shared" si="79"/>
        <v>664271.88174511539</v>
      </c>
      <c r="BB137" s="131">
        <f t="shared" si="80"/>
        <v>0</v>
      </c>
    </row>
    <row r="138" spans="1:54" s="4" customFormat="1" ht="10.5">
      <c r="A138" s="12"/>
      <c r="B138" s="13">
        <f t="shared" si="68"/>
        <v>2038</v>
      </c>
      <c r="C138" s="73">
        <f ca="1">Zalozenia!$I549</f>
        <v>65.292000000000002</v>
      </c>
      <c r="D138" s="19">
        <f ca="1">(Zalozenia!U339-Zalozenia!U446)*Zalozenia!AD411</f>
        <v>8457.886129599985</v>
      </c>
      <c r="E138" s="19">
        <f ca="1">Zalozenia!U411*(Zalozenia!U339-Zalozenia!U446)/2</f>
        <v>44.969619999999921</v>
      </c>
      <c r="F138" s="19">
        <f ca="1">(Zalozenia!L339-Zalozenia!C446)*Zalozenia!L411</f>
        <v>-5576.2328799999987</v>
      </c>
      <c r="G138" s="74">
        <f t="shared" si="69"/>
        <v>191085.0604019223</v>
      </c>
      <c r="I138" s="12"/>
      <c r="J138" s="13">
        <f t="shared" si="63"/>
        <v>2038</v>
      </c>
      <c r="K138" s="73">
        <f ca="1">Zalozenia!$I549</f>
        <v>65.292000000000002</v>
      </c>
      <c r="L138" s="19">
        <f ca="1">(Zalozenia!$V339-Zalozenia!$V446)*Zalozenia!$AE411</f>
        <v>31938.240960000028</v>
      </c>
      <c r="M138" s="19">
        <f ca="1">Zalozenia!$V411*(Zalozenia!$V339-Zalozenia!$V446)/2</f>
        <v>169.81200000000015</v>
      </c>
      <c r="N138" s="19">
        <f ca="1">(Zalozenia!$M339-Zalozenia!$D446)*Zalozenia!$M411</f>
        <v>-21056.687999999998</v>
      </c>
      <c r="O138" s="74">
        <f t="shared" si="70"/>
        <v>721565.72096832213</v>
      </c>
      <c r="Q138" s="12"/>
      <c r="R138" s="13">
        <f t="shared" si="64"/>
        <v>2038</v>
      </c>
      <c r="S138" s="73">
        <f ca="1">Zalozenia!$I549</f>
        <v>65.292000000000002</v>
      </c>
      <c r="T138" s="19">
        <f ca="1">(Zalozenia!$W339-Zalozenia!$W446)*Zalozenia!$AF411</f>
        <v>16271.99698880004</v>
      </c>
      <c r="U138" s="19">
        <f ca="1">Zalozenia!$W411*(Zalozenia!$W339-Zalozenia!$W446)/2</f>
        <v>86.516360000000205</v>
      </c>
      <c r="V138" s="19">
        <f ca="1">(Zalozenia!$N339-Zalozenia!$E446)*Zalozenia!$N411</f>
        <v>-10728.028640000002</v>
      </c>
      <c r="W138" s="74">
        <f t="shared" si="71"/>
        <v>367625.60760697204</v>
      </c>
      <c r="Y138" s="12"/>
      <c r="Z138" s="13">
        <f t="shared" si="65"/>
        <v>2038</v>
      </c>
      <c r="AA138" s="73">
        <f ca="1">Zalozenia!$I549</f>
        <v>65.292000000000002</v>
      </c>
      <c r="AB138" s="19">
        <f ca="1">(Zalozenia!$X339-Zalozenia!$X446)*Zalozenia!$AG411</f>
        <v>17838.440076799987</v>
      </c>
      <c r="AC138" s="19">
        <f ca="1">Zalozenia!$X411*(Zalozenia!$X339-Zalozenia!$X446)/2</f>
        <v>94.844959999999944</v>
      </c>
      <c r="AD138" s="19">
        <f ca="1">(Zalozenia!$O339-Zalozenia!$F446)*Zalozenia!$O411</f>
        <v>-11760.775039999997</v>
      </c>
      <c r="AE138" s="74">
        <f t="shared" si="72"/>
        <v>403015.52271106484</v>
      </c>
      <c r="AG138" s="12"/>
      <c r="AH138" s="13">
        <f t="shared" si="66"/>
        <v>2038</v>
      </c>
      <c r="AI138" s="73">
        <f ca="1">Zalozenia!$I549</f>
        <v>65.292000000000002</v>
      </c>
      <c r="AJ138" s="19">
        <f ca="1">(Zalozenia!$Y339-Zalozenia!$Y446)*Zalozenia!$AH411</f>
        <v>29968.471596800126</v>
      </c>
      <c r="AK138" s="19">
        <f ca="1">Zalozenia!$Y411*(Zalozenia!$Y339-Zalozenia!$Y446)/2</f>
        <v>159.33896000000067</v>
      </c>
      <c r="AL138" s="19">
        <f ca="1">(Zalozenia!$P339-Zalozenia!$G446)*Zalozenia!$P411</f>
        <v>-19758.031040000005</v>
      </c>
      <c r="AM138" s="74">
        <f t="shared" si="73"/>
        <v>677063.64421091357</v>
      </c>
      <c r="AO138" s="12"/>
      <c r="AP138" s="13">
        <f t="shared" si="67"/>
        <v>2038</v>
      </c>
      <c r="AQ138" s="73">
        <f ca="1">Zalozenia!$I549</f>
        <v>65.292000000000002</v>
      </c>
      <c r="AR138" s="19">
        <f ca="1">(Zalozenia!$Z339-Zalozenia!$Z446)*Zalozenia!$AI411</f>
        <v>0</v>
      </c>
      <c r="AS138" s="19">
        <f ca="1">Zalozenia!$Z411*(Zalozenia!$Z339-Zalozenia!$Z446)/2</f>
        <v>0</v>
      </c>
      <c r="AT138" s="19">
        <f ca="1">(Zalozenia!$Q339-Zalozenia!$H446)*Zalozenia!$Q411</f>
        <v>0</v>
      </c>
      <c r="AU138" s="74">
        <f t="shared" si="74"/>
        <v>0</v>
      </c>
      <c r="AW138" s="131">
        <f t="shared" si="75"/>
        <v>191085.0604019223</v>
      </c>
      <c r="AX138" s="131">
        <f t="shared" si="76"/>
        <v>721565.72096832213</v>
      </c>
      <c r="AY138" s="131">
        <f t="shared" si="77"/>
        <v>367625.60760697204</v>
      </c>
      <c r="AZ138" s="131">
        <f t="shared" si="78"/>
        <v>403015.52271106484</v>
      </c>
      <c r="BA138" s="131">
        <f t="shared" si="79"/>
        <v>677063.64421091357</v>
      </c>
      <c r="BB138" s="131">
        <f t="shared" si="80"/>
        <v>0</v>
      </c>
    </row>
    <row r="139" spans="1:54" s="4" customFormat="1" ht="10.5">
      <c r="A139" s="12"/>
      <c r="B139" s="13">
        <f t="shared" si="68"/>
        <v>2039</v>
      </c>
      <c r="C139" s="73">
        <f ca="1">Zalozenia!$I550</f>
        <v>66.205000000000013</v>
      </c>
      <c r="D139" s="19">
        <f ca="1">(Zalozenia!U340-Zalozenia!U447)*Zalozenia!AD412</f>
        <v>8514.486924799985</v>
      </c>
      <c r="E139" s="19">
        <f ca="1">Zalozenia!U412*(Zalozenia!U340-Zalozenia!U447)/2</f>
        <v>45.270559999999918</v>
      </c>
      <c r="F139" s="19">
        <f ca="1">(Zalozenia!L340-Zalozenia!C447)*Zalozenia!L412</f>
        <v>-5613.5494399999989</v>
      </c>
      <c r="G139" s="74">
        <f t="shared" si="69"/>
        <v>195053.70360598306</v>
      </c>
      <c r="I139" s="12"/>
      <c r="J139" s="13">
        <f t="shared" si="63"/>
        <v>2039</v>
      </c>
      <c r="K139" s="73">
        <f ca="1">Zalozenia!$I550</f>
        <v>66.205000000000013</v>
      </c>
      <c r="L139" s="19">
        <f ca="1">(Zalozenia!$V340-Zalozenia!$V447)*Zalozenia!$AE412</f>
        <v>32117.669280000027</v>
      </c>
      <c r="M139" s="19">
        <f ca="1">Zalozenia!$V412*(Zalozenia!$V340-Zalozenia!$V447)/2</f>
        <v>170.76600000000016</v>
      </c>
      <c r="N139" s="19">
        <f ca="1">(Zalozenia!$M340-Zalozenia!$D447)*Zalozenia!$M412</f>
        <v>-21174.983999999997</v>
      </c>
      <c r="O139" s="74">
        <f t="shared" si="70"/>
        <v>735766.04199240217</v>
      </c>
      <c r="Q139" s="12"/>
      <c r="R139" s="13">
        <f t="shared" si="64"/>
        <v>2039</v>
      </c>
      <c r="S139" s="73">
        <f ca="1">Zalozenia!$I550</f>
        <v>66.205000000000013</v>
      </c>
      <c r="T139" s="19">
        <f ca="1">(Zalozenia!$W340-Zalozenia!$W447)*Zalozenia!$AF412</f>
        <v>16353.138462400038</v>
      </c>
      <c r="U139" s="19">
        <f ca="1">Zalozenia!$W412*(Zalozenia!$W340-Zalozenia!$W447)/2</f>
        <v>86.947780000000208</v>
      </c>
      <c r="V139" s="19">
        <f ca="1">(Zalozenia!$N340-Zalozenia!$E447)*Zalozenia!$N412</f>
        <v>-10781.524720000003</v>
      </c>
      <c r="W139" s="74">
        <f t="shared" si="71"/>
        <v>374625.06559049431</v>
      </c>
      <c r="Y139" s="12"/>
      <c r="Z139" s="13">
        <f t="shared" si="65"/>
        <v>2039</v>
      </c>
      <c r="AA139" s="73">
        <f ca="1">Zalozenia!$I550</f>
        <v>66.205000000000013</v>
      </c>
      <c r="AB139" s="19">
        <f ca="1">(Zalozenia!$X340-Zalozenia!$X447)*Zalozenia!$AG412</f>
        <v>17939.499222399991</v>
      </c>
      <c r="AC139" s="19">
        <f ca="1">Zalozenia!$X412*(Zalozenia!$X340-Zalozenia!$X447)/2</f>
        <v>95.382279999999952</v>
      </c>
      <c r="AD139" s="19">
        <f ca="1">(Zalozenia!$O340-Zalozenia!$F447)*Zalozenia!$O412</f>
        <v>-11827.402719999996</v>
      </c>
      <c r="AE139" s="74">
        <f t="shared" si="72"/>
        <v>410966.13278879179</v>
      </c>
      <c r="AG139" s="12"/>
      <c r="AH139" s="13">
        <f t="shared" si="66"/>
        <v>2039</v>
      </c>
      <c r="AI139" s="73">
        <f ca="1">Zalozenia!$I550</f>
        <v>66.205000000000013</v>
      </c>
      <c r="AJ139" s="19">
        <f ca="1">(Zalozenia!$Y340-Zalozenia!$Y447)*Zalozenia!$AH412</f>
        <v>30118.619622400125</v>
      </c>
      <c r="AK139" s="19">
        <f ca="1">Zalozenia!$Y412*(Zalozenia!$Y340-Zalozenia!$Y447)/2</f>
        <v>160.13728000000069</v>
      </c>
      <c r="AL139" s="19">
        <f ca="1">(Zalozenia!$P340-Zalozenia!$G447)*Zalozenia!$P412</f>
        <v>-19857.022720000004</v>
      </c>
      <c r="AM139" s="74">
        <f t="shared" si="73"/>
        <v>689970.91154580005</v>
      </c>
      <c r="AO139" s="12"/>
      <c r="AP139" s="13">
        <f t="shared" si="67"/>
        <v>2039</v>
      </c>
      <c r="AQ139" s="73">
        <f ca="1">Zalozenia!$I550</f>
        <v>66.205000000000013</v>
      </c>
      <c r="AR139" s="19">
        <f ca="1">(Zalozenia!$Z340-Zalozenia!$Z447)*Zalozenia!$AI412</f>
        <v>0</v>
      </c>
      <c r="AS139" s="19">
        <f ca="1">Zalozenia!$Z412*(Zalozenia!$Z340-Zalozenia!$Z447)/2</f>
        <v>0</v>
      </c>
      <c r="AT139" s="19">
        <f ca="1">(Zalozenia!$Q340-Zalozenia!$H447)*Zalozenia!$Q412</f>
        <v>0</v>
      </c>
      <c r="AU139" s="74">
        <f t="shared" si="74"/>
        <v>0</v>
      </c>
      <c r="AW139" s="131">
        <f t="shared" si="75"/>
        <v>195053.70360598306</v>
      </c>
      <c r="AX139" s="131">
        <f t="shared" si="76"/>
        <v>735766.04199240217</v>
      </c>
      <c r="AY139" s="131">
        <f t="shared" si="77"/>
        <v>374625.06559049431</v>
      </c>
      <c r="AZ139" s="131">
        <f t="shared" si="78"/>
        <v>410966.13278879179</v>
      </c>
      <c r="BA139" s="131">
        <f t="shared" si="79"/>
        <v>689970.91154580005</v>
      </c>
      <c r="BB139" s="131">
        <f t="shared" si="80"/>
        <v>0</v>
      </c>
    </row>
    <row r="140" spans="1:54" s="4" customFormat="1" ht="10.5">
      <c r="A140" s="12"/>
      <c r="B140" s="13">
        <f t="shared" si="68"/>
        <v>2040</v>
      </c>
      <c r="C140" s="73">
        <f ca="1">Zalozenia!$I551</f>
        <v>67.149000000000001</v>
      </c>
      <c r="D140" s="19">
        <f ca="1">(Zalozenia!U341-Zalozenia!U448)*Zalozenia!AD413</f>
        <v>8152.1189100000302</v>
      </c>
      <c r="E140" s="19">
        <f ca="1">Zalozenia!U413*(Zalozenia!U341-Zalozenia!U448)/2</f>
        <v>47.683350000000175</v>
      </c>
      <c r="F140" s="19">
        <f ca="1">(Zalozenia!L341-Zalozenia!C448)*Zalozenia!L413</f>
        <v>-5277.6798750000016</v>
      </c>
      <c r="G140" s="74">
        <f t="shared" si="69"/>
        <v>196217.59603036687</v>
      </c>
      <c r="I140" s="12"/>
      <c r="J140" s="13">
        <f t="shared" si="63"/>
        <v>2040</v>
      </c>
      <c r="K140" s="73">
        <f ca="1">Zalozenia!$I551</f>
        <v>67.149000000000001</v>
      </c>
      <c r="L140" s="19">
        <f ca="1">(Zalozenia!$V341-Zalozenia!$V448)*Zalozenia!$AE413</f>
        <v>30858.389279999985</v>
      </c>
      <c r="M140" s="19">
        <f ca="1">Zalozenia!$V413*(Zalozenia!$V341-Zalozenia!$V448)/2</f>
        <v>180.49679999999992</v>
      </c>
      <c r="N140" s="19">
        <f ca="1">(Zalozenia!$M341-Zalozenia!$D448)*Zalozenia!$M413</f>
        <v>-19977.714</v>
      </c>
      <c r="O140" s="74">
        <f t="shared" si="70"/>
        <v>742746.64399991906</v>
      </c>
      <c r="Q140" s="12"/>
      <c r="R140" s="13">
        <f t="shared" si="64"/>
        <v>2040</v>
      </c>
      <c r="S140" s="73">
        <f ca="1">Zalozenia!$I551</f>
        <v>67.149000000000001</v>
      </c>
      <c r="T140" s="19">
        <f ca="1">(Zalozenia!$W341-Zalozenia!$W448)*Zalozenia!$AF413</f>
        <v>15544.287360000013</v>
      </c>
      <c r="U140" s="19">
        <f ca="1">Zalozenia!$W413*(Zalozenia!$W341-Zalozenia!$W448)/2</f>
        <v>90.921600000000069</v>
      </c>
      <c r="V140" s="19">
        <f ca="1">(Zalozenia!$N341-Zalozenia!$E448)*Zalozenia!$N413</f>
        <v>-10063.368000000002</v>
      </c>
      <c r="W140" s="74">
        <f t="shared" si="71"/>
        <v>374143.54862304073</v>
      </c>
      <c r="Y140" s="12"/>
      <c r="Z140" s="13">
        <f t="shared" si="65"/>
        <v>2040</v>
      </c>
      <c r="AA140" s="73">
        <f ca="1">Zalozenia!$I551</f>
        <v>67.149000000000001</v>
      </c>
      <c r="AB140" s="19">
        <f ca="1">(Zalozenia!$X341-Zalozenia!$X448)*Zalozenia!$AG413</f>
        <v>17563.938924000042</v>
      </c>
      <c r="AC140" s="19">
        <f ca="1">Zalozenia!$X413*(Zalozenia!$X341-Zalozenia!$X448)/2</f>
        <v>102.73494000000024</v>
      </c>
      <c r="AD140" s="19">
        <f ca="1">(Zalozenia!$O341-Zalozenia!$F448)*Zalozenia!$O413</f>
        <v>-11370.889950000003</v>
      </c>
      <c r="AE140" s="74">
        <f t="shared" si="72"/>
        <v>422755.59404118854</v>
      </c>
      <c r="AG140" s="12"/>
      <c r="AH140" s="13">
        <f t="shared" si="66"/>
        <v>2040</v>
      </c>
      <c r="AI140" s="73">
        <f ca="1">Zalozenia!$I551</f>
        <v>67.149000000000001</v>
      </c>
      <c r="AJ140" s="19">
        <f ca="1">(Zalozenia!$Y341-Zalozenia!$Y448)*Zalozenia!$AH413</f>
        <v>29375.385731999973</v>
      </c>
      <c r="AK140" s="19">
        <f ca="1">Zalozenia!$Y413*(Zalozenia!$Y341-Zalozenia!$Y448)/2</f>
        <v>171.82241999999985</v>
      </c>
      <c r="AL140" s="19">
        <f ca="1">(Zalozenia!$P341-Zalozenia!$G448)*Zalozenia!$P413</f>
        <v>-19017.617850000002</v>
      </c>
      <c r="AM140" s="74">
        <f t="shared" si="73"/>
        <v>707051.45918899612</v>
      </c>
      <c r="AO140" s="12"/>
      <c r="AP140" s="13">
        <f t="shared" si="67"/>
        <v>2040</v>
      </c>
      <c r="AQ140" s="73">
        <f ca="1">Zalozenia!$I551</f>
        <v>67.149000000000001</v>
      </c>
      <c r="AR140" s="19">
        <f ca="1">(Zalozenia!$Z341-Zalozenia!$Z448)*Zalozenia!$AI413</f>
        <v>0</v>
      </c>
      <c r="AS140" s="19">
        <f ca="1">Zalozenia!$Z413*(Zalozenia!$Z341-Zalozenia!$Z448)/2</f>
        <v>-14887.619999999999</v>
      </c>
      <c r="AT140" s="19">
        <f ca="1">(Zalozenia!$Q341-Zalozenia!$H448)*Zalozenia!$Q413</f>
        <v>-115632</v>
      </c>
      <c r="AU140" s="74">
        <f t="shared" si="74"/>
        <v>-8764261.9633799996</v>
      </c>
      <c r="AW140" s="131">
        <f t="shared" si="75"/>
        <v>196217.59603036687</v>
      </c>
      <c r="AX140" s="131">
        <f t="shared" si="76"/>
        <v>742746.64399991906</v>
      </c>
      <c r="AY140" s="131">
        <f t="shared" si="77"/>
        <v>374143.54862304073</v>
      </c>
      <c r="AZ140" s="131">
        <f t="shared" si="78"/>
        <v>422755.59404118854</v>
      </c>
      <c r="BA140" s="131">
        <f t="shared" si="79"/>
        <v>707051.45918899612</v>
      </c>
      <c r="BB140" s="131">
        <f t="shared" si="80"/>
        <v>-8764261.9633799996</v>
      </c>
    </row>
    <row r="141" spans="1:54" s="4" customFormat="1" ht="10.5">
      <c r="A141" s="12"/>
      <c r="B141" s="13">
        <f t="shared" si="68"/>
        <v>2041</v>
      </c>
      <c r="C141" s="73">
        <f ca="1">Zalozenia!$I552</f>
        <v>68.061000000000007</v>
      </c>
      <c r="D141" s="19">
        <f ca="1">(Zalozenia!U342-Zalozenia!U449)*Zalozenia!AD414</f>
        <v>8205.9529656000323</v>
      </c>
      <c r="E141" s="19">
        <f ca="1">Zalozenia!U414*(Zalozenia!U342-Zalozenia!U449)/2</f>
        <v>47.998236000000176</v>
      </c>
      <c r="F141" s="19">
        <f ca="1">(Zalozenia!L342-Zalozenia!C449)*Zalozenia!L414</f>
        <v>-5312.5320300000021</v>
      </c>
      <c r="G141" s="74">
        <f t="shared" si="69"/>
        <v>200195.93023826965</v>
      </c>
      <c r="I141" s="12"/>
      <c r="J141" s="13">
        <f t="shared" si="63"/>
        <v>2041</v>
      </c>
      <c r="K141" s="73">
        <f ca="1">Zalozenia!$I552</f>
        <v>68.061000000000007</v>
      </c>
      <c r="L141" s="19">
        <f ca="1">(Zalozenia!$V342-Zalozenia!$V449)*Zalozenia!$AE414</f>
        <v>31029.824775999983</v>
      </c>
      <c r="M141" s="19">
        <f ca="1">Zalozenia!$V414*(Zalozenia!$V342-Zalozenia!$V449)/2</f>
        <v>181.49955999999992</v>
      </c>
      <c r="N141" s="19">
        <f ca="1">(Zalozenia!$M342-Zalozenia!$D449)*Zalozenia!$M414</f>
        <v>-20088.701299999997</v>
      </c>
      <c r="O141" s="74">
        <f t="shared" si="70"/>
        <v>757016.8464531952</v>
      </c>
      <c r="Q141" s="12"/>
      <c r="R141" s="13">
        <f t="shared" si="64"/>
        <v>2041</v>
      </c>
      <c r="S141" s="73">
        <f ca="1">Zalozenia!$I552</f>
        <v>68.061000000000007</v>
      </c>
      <c r="T141" s="19">
        <f ca="1">(Zalozenia!$W342-Zalozenia!$W449)*Zalozenia!$AF414</f>
        <v>15621.034646000015</v>
      </c>
      <c r="U141" s="19">
        <f ca="1">Zalozenia!$W414*(Zalozenia!$W342-Zalozenia!$W449)/2</f>
        <v>91.370510000000067</v>
      </c>
      <c r="V141" s="19">
        <f ca="1">(Zalozenia!$N342-Zalozenia!$E449)*Zalozenia!$N414</f>
        <v>-10113.054175000003</v>
      </c>
      <c r="W141" s="74">
        <f t="shared" si="71"/>
        <v>381097.4271178419</v>
      </c>
      <c r="Y141" s="12"/>
      <c r="Z141" s="13">
        <f t="shared" si="65"/>
        <v>2041</v>
      </c>
      <c r="AA141" s="73">
        <f ca="1">Zalozenia!$I552</f>
        <v>68.061000000000007</v>
      </c>
      <c r="AB141" s="19">
        <f ca="1">(Zalozenia!$X342-Zalozenia!$X449)*Zalozenia!$AG414</f>
        <v>17662.328154800041</v>
      </c>
      <c r="AC141" s="19">
        <f ca="1">Zalozenia!$X414*(Zalozenia!$X342-Zalozenia!$X449)/2</f>
        <v>103.31043800000023</v>
      </c>
      <c r="AD141" s="19">
        <f ca="1">(Zalozenia!$O342-Zalozenia!$F449)*Zalozenia!$O414</f>
        <v>-11434.587115000002</v>
      </c>
      <c r="AE141" s="74">
        <f t="shared" si="72"/>
        <v>430897.69463054853</v>
      </c>
      <c r="AG141" s="12"/>
      <c r="AH141" s="13">
        <f t="shared" si="66"/>
        <v>2041</v>
      </c>
      <c r="AI141" s="73">
        <f ca="1">Zalozenia!$I552</f>
        <v>68.061000000000007</v>
      </c>
      <c r="AJ141" s="19">
        <f ca="1">(Zalozenia!$Y342-Zalozenia!$Y449)*Zalozenia!$AH414</f>
        <v>29521.102142399981</v>
      </c>
      <c r="AK141" s="19">
        <f ca="1">Zalozenia!$Y414*(Zalozenia!$Y342-Zalozenia!$Y449)/2</f>
        <v>172.67474399999986</v>
      </c>
      <c r="AL141" s="19">
        <f ca="1">(Zalozenia!$P342-Zalozenia!$G449)*Zalozenia!$P414</f>
        <v>-19111.954620000004</v>
      </c>
      <c r="AM141" s="74">
        <f t="shared" si="73"/>
        <v>720209.40527344891</v>
      </c>
      <c r="AO141" s="12"/>
      <c r="AP141" s="13">
        <f t="shared" si="67"/>
        <v>2041</v>
      </c>
      <c r="AQ141" s="73">
        <f ca="1">Zalozenia!$I552</f>
        <v>68.061000000000007</v>
      </c>
      <c r="AR141" s="19">
        <f ca="1">(Zalozenia!$Z342-Zalozenia!$Z449)*Zalozenia!$AI414</f>
        <v>0</v>
      </c>
      <c r="AS141" s="19">
        <f ca="1">Zalozenia!$Z414*(Zalozenia!$Z342-Zalozenia!$Z449)/2</f>
        <v>-15880.128000000001</v>
      </c>
      <c r="AT141" s="19">
        <f ca="1">(Zalozenia!$Q342-Zalozenia!$H449)*Zalozenia!$Q414</f>
        <v>-123340.79999999999</v>
      </c>
      <c r="AU141" s="74">
        <f t="shared" si="74"/>
        <v>-9475515.5806079991</v>
      </c>
      <c r="AW141" s="131">
        <f t="shared" si="75"/>
        <v>200195.93023826965</v>
      </c>
      <c r="AX141" s="131">
        <f t="shared" si="76"/>
        <v>757016.8464531952</v>
      </c>
      <c r="AY141" s="131">
        <f t="shared" si="77"/>
        <v>381097.4271178419</v>
      </c>
      <c r="AZ141" s="131">
        <f t="shared" si="78"/>
        <v>430897.69463054853</v>
      </c>
      <c r="BA141" s="131">
        <f t="shared" si="79"/>
        <v>720209.40527344891</v>
      </c>
      <c r="BB141" s="131">
        <f t="shared" si="80"/>
        <v>-9475515.5806079991</v>
      </c>
    </row>
    <row r="142" spans="1:54" s="4" customFormat="1" ht="10.5">
      <c r="A142" s="12"/>
      <c r="B142" s="13">
        <f t="shared" si="68"/>
        <v>2042</v>
      </c>
      <c r="C142" s="73">
        <f ca="1">Zalozenia!$I553</f>
        <v>68.982699999999994</v>
      </c>
      <c r="D142" s="19">
        <f ca="1">(Zalozenia!U343-Zalozenia!U450)*Zalozenia!AD415</f>
        <v>8259.7870212000307</v>
      </c>
      <c r="E142" s="19">
        <f ca="1">Zalozenia!U415*(Zalozenia!U343-Zalozenia!U450)/2</f>
        <v>48.313122000000178</v>
      </c>
      <c r="F142" s="19">
        <f ca="1">(Zalozenia!L343-Zalozenia!C450)*Zalozenia!L415</f>
        <v>-5347.3841850000017</v>
      </c>
      <c r="G142" s="74">
        <f t="shared" si="69"/>
        <v>204238.18072972511</v>
      </c>
      <c r="I142" s="12"/>
      <c r="J142" s="13">
        <f t="shared" si="63"/>
        <v>2042</v>
      </c>
      <c r="K142" s="73">
        <f ca="1">Zalozenia!$I553</f>
        <v>68.982699999999994</v>
      </c>
      <c r="L142" s="19">
        <f ca="1">(Zalozenia!$V343-Zalozenia!$V450)*Zalozenia!$AE415</f>
        <v>31201.260271999989</v>
      </c>
      <c r="M142" s="19">
        <f ca="1">Zalozenia!$V415*(Zalozenia!$V343-Zalozenia!$V450)/2</f>
        <v>182.50231999999991</v>
      </c>
      <c r="N142" s="19">
        <f ca="1">(Zalozenia!$M343-Zalozenia!$D450)*Zalozenia!$M415</f>
        <v>-20199.688599999994</v>
      </c>
      <c r="O142" s="74">
        <f t="shared" si="70"/>
        <v>771507.62096793798</v>
      </c>
      <c r="Q142" s="12"/>
      <c r="R142" s="13">
        <f t="shared" si="64"/>
        <v>2042</v>
      </c>
      <c r="S142" s="73">
        <f ca="1">Zalozenia!$I553</f>
        <v>68.982699999999994</v>
      </c>
      <c r="T142" s="19">
        <f ca="1">(Zalozenia!$W343-Zalozenia!$W450)*Zalozenia!$AF415</f>
        <v>15697.781932000014</v>
      </c>
      <c r="U142" s="19">
        <f ca="1">Zalozenia!$W415*(Zalozenia!$W343-Zalozenia!$W450)/2</f>
        <v>91.819420000000079</v>
      </c>
      <c r="V142" s="19">
        <f ca="1">(Zalozenia!$N343-Zalozenia!$E450)*Zalozenia!$N415</f>
        <v>-10162.740350000004</v>
      </c>
      <c r="W142" s="74">
        <f t="shared" si="71"/>
        <v>388156.06444266607</v>
      </c>
      <c r="Y142" s="12"/>
      <c r="Z142" s="13">
        <f t="shared" si="65"/>
        <v>2042</v>
      </c>
      <c r="AA142" s="73">
        <f ca="1">Zalozenia!$I553</f>
        <v>68.982699999999994</v>
      </c>
      <c r="AB142" s="19">
        <f ca="1">(Zalozenia!$X343-Zalozenia!$X450)*Zalozenia!$AG415</f>
        <v>17760.717385600045</v>
      </c>
      <c r="AC142" s="19">
        <f ca="1">Zalozenia!$X415*(Zalozenia!$X343-Zalozenia!$X450)/2</f>
        <v>103.88593600000024</v>
      </c>
      <c r="AD142" s="19">
        <f ca="1">(Zalozenia!$O343-Zalozenia!$F450)*Zalozenia!$O415</f>
        <v>-11498.284280000003</v>
      </c>
      <c r="AE142" s="74">
        <f t="shared" si="72"/>
        <v>439165.87655098306</v>
      </c>
      <c r="AG142" s="12"/>
      <c r="AH142" s="13">
        <f t="shared" si="66"/>
        <v>2042</v>
      </c>
      <c r="AI142" s="73">
        <f ca="1">Zalozenia!$I553</f>
        <v>68.982699999999994</v>
      </c>
      <c r="AJ142" s="19">
        <f ca="1">(Zalozenia!$Y343-Zalozenia!$Y450)*Zalozenia!$AH415</f>
        <v>29666.818552799978</v>
      </c>
      <c r="AK142" s="19">
        <f ca="1">Zalozenia!$Y415*(Zalozenia!$Y343-Zalozenia!$Y450)/2</f>
        <v>173.52706799999987</v>
      </c>
      <c r="AL142" s="19">
        <f ca="1">(Zalozenia!$P343-Zalozenia!$G450)*Zalozenia!$P415</f>
        <v>-19206.291390000006</v>
      </c>
      <c r="AM142" s="74">
        <f t="shared" si="73"/>
        <v>733565.77278700506</v>
      </c>
      <c r="AO142" s="12"/>
      <c r="AP142" s="13">
        <f t="shared" si="67"/>
        <v>2042</v>
      </c>
      <c r="AQ142" s="73">
        <f ca="1">Zalozenia!$I553</f>
        <v>68.982699999999994</v>
      </c>
      <c r="AR142" s="19">
        <f ca="1">(Zalozenia!$Z343-Zalozenia!$Z450)*Zalozenia!$AI415</f>
        <v>0</v>
      </c>
      <c r="AS142" s="19">
        <f ca="1">Zalozenia!$Z415*(Zalozenia!$Z343-Zalozenia!$Z450)/2</f>
        <v>-16872.635999999999</v>
      </c>
      <c r="AT142" s="19">
        <f ca="1">(Zalozenia!$Q343-Zalozenia!$H450)*Zalozenia!$Q415</f>
        <v>-131049.59999999999</v>
      </c>
      <c r="AU142" s="74">
        <f t="shared" si="74"/>
        <v>-10204075.229317198</v>
      </c>
      <c r="AW142" s="131">
        <f t="shared" si="75"/>
        <v>204238.18072972511</v>
      </c>
      <c r="AX142" s="131">
        <f t="shared" si="76"/>
        <v>771507.62096793798</v>
      </c>
      <c r="AY142" s="131">
        <f t="shared" si="77"/>
        <v>388156.06444266607</v>
      </c>
      <c r="AZ142" s="131">
        <f t="shared" si="78"/>
        <v>439165.87655098306</v>
      </c>
      <c r="BA142" s="131">
        <f t="shared" si="79"/>
        <v>733565.77278700506</v>
      </c>
      <c r="BB142" s="131">
        <f t="shared" si="80"/>
        <v>-10204075.229317198</v>
      </c>
    </row>
    <row r="143" spans="1:54" s="4" customFormat="1" ht="10.5">
      <c r="A143" s="12"/>
      <c r="B143" s="13">
        <f t="shared" si="68"/>
        <v>2043</v>
      </c>
      <c r="C143" s="73">
        <f ca="1">Zalozenia!$I554</f>
        <v>72.036776354679859</v>
      </c>
      <c r="D143" s="19">
        <f ca="1">(Zalozenia!U344-Zalozenia!U451)*Zalozenia!AD416</f>
        <v>8313.621076800031</v>
      </c>
      <c r="E143" s="19">
        <f ca="1">Zalozenia!U416*(Zalozenia!U344-Zalozenia!U451)/2</f>
        <v>48.628008000000179</v>
      </c>
      <c r="F143" s="19">
        <f ca="1">(Zalozenia!L344-Zalozenia!C451)*Zalozenia!L416</f>
        <v>-5382.2363400000013</v>
      </c>
      <c r="G143" s="74">
        <f t="shared" si="69"/>
        <v>214670.51163125539</v>
      </c>
      <c r="I143" s="12"/>
      <c r="J143" s="13">
        <f t="shared" si="63"/>
        <v>2043</v>
      </c>
      <c r="K143" s="73">
        <f ca="1">Zalozenia!$I554</f>
        <v>72.036776354679859</v>
      </c>
      <c r="L143" s="19">
        <f ca="1">(Zalozenia!$V344-Zalozenia!$V451)*Zalozenia!$AE416</f>
        <v>31372.695767999987</v>
      </c>
      <c r="M143" s="19">
        <f ca="1">Zalozenia!$V416*(Zalozenia!$V344-Zalozenia!$V451)/2</f>
        <v>183.50507999999991</v>
      </c>
      <c r="N143" s="19">
        <f ca="1">(Zalozenia!$M344-Zalozenia!$D451)*Zalozenia!$M416</f>
        <v>-20310.675899999995</v>
      </c>
      <c r="O143" s="74">
        <f t="shared" si="70"/>
        <v>810091.36567004817</v>
      </c>
      <c r="Q143" s="12"/>
      <c r="R143" s="13">
        <f t="shared" si="64"/>
        <v>2043</v>
      </c>
      <c r="S143" s="73">
        <f ca="1">Zalozenia!$I554</f>
        <v>72.036776354679859</v>
      </c>
      <c r="T143" s="19">
        <f ca="1">(Zalozenia!$W344-Zalozenia!$W451)*Zalozenia!$AF416</f>
        <v>15774.529218000014</v>
      </c>
      <c r="U143" s="19">
        <f ca="1">Zalozenia!$W416*(Zalozenia!$W344-Zalozenia!$W451)/2</f>
        <v>92.268330000000077</v>
      </c>
      <c r="V143" s="19">
        <f ca="1">(Zalozenia!$N344-Zalozenia!$E451)*Zalozenia!$N416</f>
        <v>-10212.426525000003</v>
      </c>
      <c r="W143" s="74">
        <f t="shared" si="71"/>
        <v>407322.66081023426</v>
      </c>
      <c r="Y143" s="12"/>
      <c r="Z143" s="13">
        <f t="shared" si="65"/>
        <v>2043</v>
      </c>
      <c r="AA143" s="73">
        <f ca="1">Zalozenia!$I554</f>
        <v>72.036776354679859</v>
      </c>
      <c r="AB143" s="19">
        <f ca="1">(Zalozenia!$X344-Zalozenia!$X451)*Zalozenia!$AG416</f>
        <v>17859.106616400044</v>
      </c>
      <c r="AC143" s="19">
        <f ca="1">Zalozenia!$X416*(Zalozenia!$X344-Zalozenia!$X451)/2</f>
        <v>104.46143400000025</v>
      </c>
      <c r="AD143" s="19">
        <f ca="1">(Zalozenia!$O344-Zalozenia!$F451)*Zalozenia!$O416</f>
        <v>-11561.981445000003</v>
      </c>
      <c r="AE143" s="74">
        <f t="shared" si="72"/>
        <v>461149.66260831704</v>
      </c>
      <c r="AG143" s="12"/>
      <c r="AH143" s="13">
        <f t="shared" si="66"/>
        <v>2043</v>
      </c>
      <c r="AI143" s="73">
        <f ca="1">Zalozenia!$I554</f>
        <v>72.036776354679859</v>
      </c>
      <c r="AJ143" s="19">
        <f ca="1">(Zalozenia!$Y344-Zalozenia!$Y451)*Zalozenia!$AH416</f>
        <v>29812.534963199971</v>
      </c>
      <c r="AK143" s="19">
        <f ca="1">Zalozenia!$Y416*(Zalozenia!$Y344-Zalozenia!$Y451)/2</f>
        <v>174.37939199999985</v>
      </c>
      <c r="AL143" s="19">
        <f ca="1">(Zalozenia!$P344-Zalozenia!$G451)*Zalozenia!$P416</f>
        <v>-19300.628160000004</v>
      </c>
      <c r="AM143" s="74">
        <f t="shared" si="73"/>
        <v>769805.60870572273</v>
      </c>
      <c r="AO143" s="12"/>
      <c r="AP143" s="13">
        <f t="shared" si="67"/>
        <v>2043</v>
      </c>
      <c r="AQ143" s="73">
        <f ca="1">Zalozenia!$I554</f>
        <v>72.036776354679859</v>
      </c>
      <c r="AR143" s="19">
        <f ca="1">(Zalozenia!$Z344-Zalozenia!$Z451)*Zalozenia!$AI416</f>
        <v>0</v>
      </c>
      <c r="AS143" s="19">
        <f ca="1">Zalozenia!$Z416*(Zalozenia!$Z344-Zalozenia!$Z451)/2</f>
        <v>-17865.144</v>
      </c>
      <c r="AT143" s="19">
        <f ca="1">(Zalozenia!$Q344-Zalozenia!$H451)*Zalozenia!$Q416</f>
        <v>-138758.39999999999</v>
      </c>
      <c r="AU143" s="74">
        <f t="shared" si="74"/>
        <v>-11282655.21100536</v>
      </c>
      <c r="AW143" s="131">
        <f t="shared" si="75"/>
        <v>214670.51163125539</v>
      </c>
      <c r="AX143" s="131">
        <f t="shared" si="76"/>
        <v>810091.36567004817</v>
      </c>
      <c r="AY143" s="131">
        <f t="shared" si="77"/>
        <v>407322.66081023426</v>
      </c>
      <c r="AZ143" s="131">
        <f t="shared" si="78"/>
        <v>461149.66260831704</v>
      </c>
      <c r="BA143" s="131">
        <f t="shared" si="79"/>
        <v>769805.60870572273</v>
      </c>
      <c r="BB143" s="131">
        <f t="shared" si="80"/>
        <v>-11282655.21100536</v>
      </c>
    </row>
    <row r="144" spans="1:54">
      <c r="A144" s="43"/>
      <c r="B144" s="13">
        <f t="shared" si="68"/>
        <v>2044</v>
      </c>
      <c r="C144" s="73">
        <f ca="1">Zalozenia!$I555</f>
        <v>73.224895467980403</v>
      </c>
      <c r="D144" s="19">
        <f ca="1">(Zalozenia!U345-Zalozenia!U452)*Zalozenia!AD417</f>
        <v>8367.4551324000313</v>
      </c>
      <c r="E144" s="75">
        <f ca="1">Zalozenia!U417*(Zalozenia!U345-Zalozenia!U452)/2</f>
        <v>48.94289400000018</v>
      </c>
      <c r="F144" s="75">
        <f ca="1">(Zalozenia!L345-Zalozenia!C452)*Zalozenia!L417</f>
        <v>-5417.0884950000018</v>
      </c>
      <c r="G144" s="76">
        <f t="shared" si="69"/>
        <v>219624.12691288444</v>
      </c>
      <c r="I144" s="43"/>
      <c r="J144" s="13">
        <f t="shared" si="63"/>
        <v>2044</v>
      </c>
      <c r="K144" s="73">
        <f ca="1">Zalozenia!$I555</f>
        <v>73.224895467980403</v>
      </c>
      <c r="L144" s="75">
        <f ca="1">(Zalozenia!$V345-Zalozenia!$V452)*Zalozenia!$AE417</f>
        <v>31544.131263999989</v>
      </c>
      <c r="M144" s="75">
        <f ca="1">Zalozenia!$V417*(Zalozenia!$V345-Zalozenia!$V452)/2</f>
        <v>184.5078399999999</v>
      </c>
      <c r="N144" s="75">
        <f ca="1">(Zalozenia!$M345-Zalozenia!$D452)*Zalozenia!$M417</f>
        <v>-20421.663199999995</v>
      </c>
      <c r="O144" s="76">
        <f t="shared" si="70"/>
        <v>827952.12862937257</v>
      </c>
      <c r="Q144" s="43"/>
      <c r="R144" s="13">
        <f t="shared" si="64"/>
        <v>2044</v>
      </c>
      <c r="S144" s="73">
        <f ca="1">Zalozenia!$I555</f>
        <v>73.224895467980403</v>
      </c>
      <c r="T144" s="75">
        <f ca="1">(Zalozenia!$W345-Zalozenia!$W452)*Zalozenia!$AF417</f>
        <v>15851.276504000012</v>
      </c>
      <c r="U144" s="75">
        <f ca="1">Zalozenia!$W417*(Zalozenia!$W345-Zalozenia!$W452)/2</f>
        <v>92.717240000000075</v>
      </c>
      <c r="V144" s="75">
        <f ca="1">(Zalozenia!$N345-Zalozenia!$E452)*Zalozenia!$N417</f>
        <v>-10262.112700000003</v>
      </c>
      <c r="W144" s="76">
        <f t="shared" si="71"/>
        <v>416055.14550839999</v>
      </c>
      <c r="Y144" s="43"/>
      <c r="Z144" s="13">
        <f t="shared" si="65"/>
        <v>2044</v>
      </c>
      <c r="AA144" s="73">
        <f ca="1">Zalozenia!$I555</f>
        <v>73.224895467980403</v>
      </c>
      <c r="AB144" s="19">
        <f ca="1">(Zalozenia!$X345-Zalozenia!$X452)*Zalozenia!$AG417</f>
        <v>17957.495847200043</v>
      </c>
      <c r="AC144" s="19">
        <f ca="1">Zalozenia!$X417*(Zalozenia!$X345-Zalozenia!$X452)/2</f>
        <v>105.03693200000023</v>
      </c>
      <c r="AD144" s="19">
        <f ca="1">(Zalozenia!$O345-Zalozenia!$F452)*Zalozenia!$O417</f>
        <v>-11625.678610000004</v>
      </c>
      <c r="AE144" s="76">
        <f t="shared" si="72"/>
        <v>471337.97368230665</v>
      </c>
      <c r="AG144" s="43"/>
      <c r="AH144" s="13">
        <f t="shared" si="66"/>
        <v>2044</v>
      </c>
      <c r="AI144" s="73">
        <f ca="1">Zalozenia!$I555</f>
        <v>73.224895467980403</v>
      </c>
      <c r="AJ144" s="19">
        <f ca="1">(Zalozenia!$Y345-Zalozenia!$Y452)*Zalozenia!$AH417</f>
        <v>29958.251373599978</v>
      </c>
      <c r="AK144" s="19">
        <f ca="1">Zalozenia!$Y417*(Zalozenia!$Y345-Zalozenia!$Y452)/2</f>
        <v>175.23171599999986</v>
      </c>
      <c r="AL144" s="19">
        <f ca="1">(Zalozenia!$P345-Zalozenia!$G452)*Zalozenia!$P417</f>
        <v>-19394.964930000006</v>
      </c>
      <c r="AM144" s="76">
        <f t="shared" si="73"/>
        <v>786326.86971771717</v>
      </c>
      <c r="AO144" s="43"/>
      <c r="AP144" s="13">
        <f t="shared" si="67"/>
        <v>2044</v>
      </c>
      <c r="AQ144" s="73">
        <f ca="1">Zalozenia!$I555</f>
        <v>73.224895467980403</v>
      </c>
      <c r="AR144" s="19">
        <f ca="1">(Zalozenia!$Z345-Zalozenia!$Z452)*Zalozenia!$AI417</f>
        <v>0</v>
      </c>
      <c r="AS144" s="19">
        <f ca="1">Zalozenia!$Z417*(Zalozenia!$Z345-Zalozenia!$Z452)/2</f>
        <v>-18857.651999999998</v>
      </c>
      <c r="AT144" s="19">
        <f ca="1">(Zalozenia!$Q345-Zalozenia!$H452)*Zalozenia!$Q417</f>
        <v>-146467.19999999998</v>
      </c>
      <c r="AU144" s="76">
        <f t="shared" si="74"/>
        <v>-12105895.00595933</v>
      </c>
      <c r="AW144" s="131">
        <f t="shared" si="75"/>
        <v>219624.12691288444</v>
      </c>
      <c r="AX144" s="131">
        <f t="shared" si="76"/>
        <v>827952.12862937257</v>
      </c>
      <c r="AY144" s="131">
        <f t="shared" si="77"/>
        <v>416055.14550839999</v>
      </c>
      <c r="AZ144" s="131">
        <f t="shared" si="78"/>
        <v>471337.97368230665</v>
      </c>
      <c r="BA144" s="131">
        <f t="shared" si="79"/>
        <v>786326.86971771717</v>
      </c>
      <c r="BB144" s="131">
        <f t="shared" si="80"/>
        <v>-12105895.00595933</v>
      </c>
    </row>
    <row r="146" spans="1:60" s="2" customFormat="1" ht="18" customHeight="1">
      <c r="A146" s="1" t="s">
        <v>143</v>
      </c>
      <c r="E146" s="3"/>
    </row>
    <row r="147" spans="1:60" s="4" customFormat="1" ht="10.5"/>
    <row r="148" spans="1:60" s="4" customFormat="1" ht="10.5">
      <c r="A148" s="150" t="s">
        <v>189</v>
      </c>
      <c r="B148" s="172"/>
      <c r="C148" s="172"/>
      <c r="D148" s="172"/>
      <c r="E148" s="172"/>
      <c r="F148" s="172"/>
      <c r="G148" s="172"/>
      <c r="H148" s="173"/>
      <c r="J148" s="150" t="s">
        <v>190</v>
      </c>
      <c r="K148" s="172"/>
      <c r="L148" s="172"/>
      <c r="M148" s="172"/>
      <c r="N148" s="172"/>
      <c r="O148" s="172"/>
      <c r="P148" s="172"/>
      <c r="Q148" s="173"/>
      <c r="S148" s="150" t="s">
        <v>191</v>
      </c>
      <c r="T148" s="172"/>
      <c r="U148" s="172"/>
      <c r="V148" s="172"/>
      <c r="W148" s="172"/>
      <c r="X148" s="172"/>
      <c r="Y148" s="172"/>
      <c r="Z148" s="173"/>
      <c r="AB148" s="150" t="s">
        <v>192</v>
      </c>
      <c r="AC148" s="172"/>
      <c r="AD148" s="172"/>
      <c r="AE148" s="172"/>
      <c r="AF148" s="172"/>
      <c r="AG148" s="172"/>
      <c r="AH148" s="172"/>
      <c r="AI148" s="173"/>
      <c r="AK148" s="150" t="s">
        <v>193</v>
      </c>
      <c r="AL148" s="172"/>
      <c r="AM148" s="172"/>
      <c r="AN148" s="172"/>
      <c r="AO148" s="172"/>
      <c r="AP148" s="172"/>
      <c r="AQ148" s="172"/>
      <c r="AR148" s="173"/>
      <c r="AT148" s="150" t="s">
        <v>309</v>
      </c>
      <c r="AU148" s="172"/>
      <c r="AV148" s="172"/>
      <c r="AW148" s="172"/>
      <c r="AX148" s="172"/>
      <c r="AY148" s="172"/>
      <c r="AZ148" s="172"/>
      <c r="BA148" s="173"/>
    </row>
    <row r="149" spans="1:60" s="4" customFormat="1" ht="10.5" customHeight="1">
      <c r="A149" s="134" t="s">
        <v>5</v>
      </c>
      <c r="B149" s="134"/>
      <c r="C149" s="6">
        <v>1</v>
      </c>
      <c r="D149" s="6">
        <v>2</v>
      </c>
      <c r="E149" s="6">
        <v>3</v>
      </c>
      <c r="F149" s="6">
        <v>4</v>
      </c>
      <c r="G149" s="6">
        <v>5</v>
      </c>
      <c r="H149" s="6">
        <v>6</v>
      </c>
      <c r="I149"/>
      <c r="J149" s="134" t="s">
        <v>5</v>
      </c>
      <c r="K149" s="134"/>
      <c r="L149" s="6">
        <v>1</v>
      </c>
      <c r="M149" s="6">
        <v>2</v>
      </c>
      <c r="N149" s="6">
        <v>3</v>
      </c>
      <c r="O149" s="6">
        <v>4</v>
      </c>
      <c r="P149" s="6">
        <v>5</v>
      </c>
      <c r="Q149" s="6">
        <v>6</v>
      </c>
      <c r="S149" s="134" t="s">
        <v>5</v>
      </c>
      <c r="T149" s="134"/>
      <c r="U149" s="6">
        <v>1</v>
      </c>
      <c r="V149" s="6">
        <v>2</v>
      </c>
      <c r="W149" s="6">
        <v>3</v>
      </c>
      <c r="X149" s="6">
        <v>4</v>
      </c>
      <c r="Y149" s="6">
        <v>5</v>
      </c>
      <c r="Z149" s="6">
        <v>6</v>
      </c>
      <c r="AB149" s="134" t="s">
        <v>5</v>
      </c>
      <c r="AC149" s="134"/>
      <c r="AD149" s="6">
        <v>1</v>
      </c>
      <c r="AE149" s="6">
        <v>2</v>
      </c>
      <c r="AF149" s="6">
        <v>3</v>
      </c>
      <c r="AG149" s="6">
        <v>4</v>
      </c>
      <c r="AH149" s="6">
        <v>5</v>
      </c>
      <c r="AI149" s="6">
        <v>6</v>
      </c>
      <c r="AK149" s="134" t="s">
        <v>5</v>
      </c>
      <c r="AL149" s="134"/>
      <c r="AM149" s="6">
        <v>1</v>
      </c>
      <c r="AN149" s="6">
        <v>2</v>
      </c>
      <c r="AO149" s="6">
        <v>3</v>
      </c>
      <c r="AP149" s="6">
        <v>4</v>
      </c>
      <c r="AQ149" s="6">
        <v>5</v>
      </c>
      <c r="AR149" s="6">
        <v>6</v>
      </c>
      <c r="AT149" s="134" t="s">
        <v>5</v>
      </c>
      <c r="AU149" s="134"/>
      <c r="AV149" s="6">
        <v>1</v>
      </c>
      <c r="AW149" s="6">
        <v>2</v>
      </c>
      <c r="AX149" s="6">
        <v>3</v>
      </c>
      <c r="AY149" s="6">
        <v>4</v>
      </c>
      <c r="AZ149" s="6">
        <v>5</v>
      </c>
      <c r="BA149" s="6">
        <v>6</v>
      </c>
    </row>
    <row r="150" spans="1:60" s="4" customFormat="1" ht="63">
      <c r="A150" s="134" t="s">
        <v>6</v>
      </c>
      <c r="B150" s="134"/>
      <c r="C150" s="35" t="s">
        <v>157</v>
      </c>
      <c r="D150" s="35" t="s">
        <v>158</v>
      </c>
      <c r="E150" s="35" t="s">
        <v>159</v>
      </c>
      <c r="F150" s="35" t="s">
        <v>160</v>
      </c>
      <c r="G150" s="35" t="s">
        <v>161</v>
      </c>
      <c r="H150" s="35" t="s">
        <v>162</v>
      </c>
      <c r="I150"/>
      <c r="J150" s="134" t="s">
        <v>6</v>
      </c>
      <c r="K150" s="134"/>
      <c r="L150" s="35" t="s">
        <v>157</v>
      </c>
      <c r="M150" s="35" t="s">
        <v>158</v>
      </c>
      <c r="N150" s="35" t="s">
        <v>159</v>
      </c>
      <c r="O150" s="35" t="s">
        <v>160</v>
      </c>
      <c r="P150" s="35" t="s">
        <v>163</v>
      </c>
      <c r="Q150" s="35" t="s">
        <v>162</v>
      </c>
      <c r="S150" s="134" t="s">
        <v>6</v>
      </c>
      <c r="T150" s="134"/>
      <c r="U150" s="35" t="s">
        <v>157</v>
      </c>
      <c r="V150" s="35" t="s">
        <v>158</v>
      </c>
      <c r="W150" s="35" t="s">
        <v>159</v>
      </c>
      <c r="X150" s="35" t="s">
        <v>160</v>
      </c>
      <c r="Y150" s="35" t="s">
        <v>163</v>
      </c>
      <c r="Z150" s="35" t="s">
        <v>162</v>
      </c>
      <c r="AB150" s="134" t="s">
        <v>6</v>
      </c>
      <c r="AC150" s="134"/>
      <c r="AD150" s="35" t="s">
        <v>157</v>
      </c>
      <c r="AE150" s="35" t="s">
        <v>158</v>
      </c>
      <c r="AF150" s="35" t="s">
        <v>159</v>
      </c>
      <c r="AG150" s="35" t="s">
        <v>160</v>
      </c>
      <c r="AH150" s="35" t="s">
        <v>163</v>
      </c>
      <c r="AI150" s="35" t="s">
        <v>162</v>
      </c>
      <c r="AK150" s="134" t="s">
        <v>6</v>
      </c>
      <c r="AL150" s="134"/>
      <c r="AM150" s="35" t="s">
        <v>157</v>
      </c>
      <c r="AN150" s="35" t="s">
        <v>158</v>
      </c>
      <c r="AO150" s="35" t="s">
        <v>159</v>
      </c>
      <c r="AP150" s="35" t="s">
        <v>160</v>
      </c>
      <c r="AQ150" s="35" t="s">
        <v>163</v>
      </c>
      <c r="AR150" s="35" t="s">
        <v>162</v>
      </c>
      <c r="AT150" s="134" t="s">
        <v>6</v>
      </c>
      <c r="AU150" s="134"/>
      <c r="AV150" s="35" t="s">
        <v>157</v>
      </c>
      <c r="AW150" s="35" t="s">
        <v>158</v>
      </c>
      <c r="AX150" s="35" t="s">
        <v>159</v>
      </c>
      <c r="AY150" s="35" t="s">
        <v>160</v>
      </c>
      <c r="AZ150" s="35" t="s">
        <v>163</v>
      </c>
      <c r="BA150" s="35" t="s">
        <v>162</v>
      </c>
      <c r="BC150" s="128" t="s">
        <v>189</v>
      </c>
      <c r="BD150" s="128" t="s">
        <v>190</v>
      </c>
      <c r="BE150" s="128" t="s">
        <v>191</v>
      </c>
      <c r="BF150" s="128" t="s">
        <v>192</v>
      </c>
      <c r="BG150" s="128" t="s">
        <v>193</v>
      </c>
      <c r="BH150" s="128" t="s">
        <v>309</v>
      </c>
    </row>
    <row r="151" spans="1:60" s="4" customFormat="1" ht="21">
      <c r="A151" s="8"/>
      <c r="B151" s="9" t="s">
        <v>22</v>
      </c>
      <c r="C151" s="36" t="s">
        <v>164</v>
      </c>
      <c r="D151" s="36" t="s">
        <v>164</v>
      </c>
      <c r="E151" s="36" t="s">
        <v>28</v>
      </c>
      <c r="F151" s="36" t="s">
        <v>28</v>
      </c>
      <c r="G151" s="36" t="s">
        <v>28</v>
      </c>
      <c r="H151" s="36" t="s">
        <v>28</v>
      </c>
      <c r="I151"/>
      <c r="J151" s="8"/>
      <c r="K151" s="9" t="s">
        <v>22</v>
      </c>
      <c r="L151" s="36" t="s">
        <v>164</v>
      </c>
      <c r="M151" s="36" t="s">
        <v>164</v>
      </c>
      <c r="N151" s="36" t="s">
        <v>28</v>
      </c>
      <c r="O151" s="36" t="s">
        <v>28</v>
      </c>
      <c r="P151" s="36" t="s">
        <v>28</v>
      </c>
      <c r="Q151" s="36" t="s">
        <v>28</v>
      </c>
      <c r="S151" s="8"/>
      <c r="T151" s="9" t="s">
        <v>22</v>
      </c>
      <c r="U151" s="36" t="s">
        <v>164</v>
      </c>
      <c r="V151" s="36" t="s">
        <v>164</v>
      </c>
      <c r="W151" s="36" t="s">
        <v>28</v>
      </c>
      <c r="X151" s="36" t="s">
        <v>28</v>
      </c>
      <c r="Y151" s="36" t="s">
        <v>28</v>
      </c>
      <c r="Z151" s="36" t="s">
        <v>28</v>
      </c>
      <c r="AB151" s="8"/>
      <c r="AC151" s="9" t="s">
        <v>22</v>
      </c>
      <c r="AD151" s="36" t="s">
        <v>164</v>
      </c>
      <c r="AE151" s="36" t="s">
        <v>164</v>
      </c>
      <c r="AF151" s="36" t="s">
        <v>28</v>
      </c>
      <c r="AG151" s="36" t="s">
        <v>28</v>
      </c>
      <c r="AH151" s="36" t="s">
        <v>28</v>
      </c>
      <c r="AI151" s="36" t="s">
        <v>28</v>
      </c>
      <c r="AK151" s="8"/>
      <c r="AL151" s="9" t="s">
        <v>22</v>
      </c>
      <c r="AM151" s="36" t="s">
        <v>164</v>
      </c>
      <c r="AN151" s="36" t="s">
        <v>164</v>
      </c>
      <c r="AO151" s="36" t="s">
        <v>28</v>
      </c>
      <c r="AP151" s="36" t="s">
        <v>28</v>
      </c>
      <c r="AQ151" s="36" t="s">
        <v>28</v>
      </c>
      <c r="AR151" s="36" t="s">
        <v>28</v>
      </c>
      <c r="AT151" s="8"/>
      <c r="AU151" s="9" t="s">
        <v>22</v>
      </c>
      <c r="AV151" s="36" t="s">
        <v>164</v>
      </c>
      <c r="AW151" s="36" t="s">
        <v>164</v>
      </c>
      <c r="AX151" s="36" t="s">
        <v>28</v>
      </c>
      <c r="AY151" s="36" t="s">
        <v>28</v>
      </c>
      <c r="AZ151" s="36" t="s">
        <v>28</v>
      </c>
      <c r="BA151" s="36" t="s">
        <v>28</v>
      </c>
    </row>
    <row r="152" spans="1:60" s="4" customFormat="1">
      <c r="A152" s="12"/>
      <c r="B152" s="13">
        <f t="shared" ref="B152:B181" si="81">B115</f>
        <v>2015</v>
      </c>
      <c r="C152" s="73">
        <f ca="1">Zalozenia!$L388*Zalozenia!$C458*Zalozenia!$C$496/Zalozenia!$F$507</f>
        <v>36790.347752836373</v>
      </c>
      <c r="D152" s="19">
        <f ca="1">Zalozenia!$L388*Zalozenia!$C458*Zalozenia!$D$496/Zalozenia!$G$507</f>
        <v>1064.98375074</v>
      </c>
      <c r="E152" s="19">
        <f ca="1">C152*Zalozenia!$C600+Zalozenia!$D600*Obliczenia!$D152</f>
        <v>47798.590050875173</v>
      </c>
      <c r="F152" s="19">
        <f ca="1">Zalozenia!$F$516</f>
        <v>7.8518518518518512</v>
      </c>
      <c r="G152" s="19">
        <f ca="1">Zalozenia!$L388*Obliczenia!F152</f>
        <v>294118.90666666668</v>
      </c>
      <c r="H152" s="20">
        <f>E152-G152</f>
        <v>-246320.3166157915</v>
      </c>
      <c r="I152"/>
      <c r="J152" s="12"/>
      <c r="K152" s="13">
        <f t="shared" ref="K152:K181" si="82">B152</f>
        <v>2015</v>
      </c>
      <c r="L152" s="73">
        <f ca="1">Zalozenia!$M388*Zalozenia!$D458*Zalozenia!$C$496/Zalozenia!$F$507</f>
        <v>109313.92285036366</v>
      </c>
      <c r="M152" s="19">
        <f ca="1">Zalozenia!$M388*Zalozenia!$D458*Zalozenia!$D$496/Zalozenia!$G$507</f>
        <v>3164.3503982999996</v>
      </c>
      <c r="N152" s="19">
        <f ca="1">L152*Zalozenia!$C600+Zalozenia!$D600*Obliczenia!M152</f>
        <v>142022.34293299663</v>
      </c>
      <c r="O152" s="19">
        <f ca="1">Zalozenia!$F$515</f>
        <v>7.2592592592592595</v>
      </c>
      <c r="P152" s="19">
        <f ca="1">Zalozenia!$M388*Obliczenia!O152</f>
        <v>948463.6</v>
      </c>
      <c r="Q152" s="20">
        <f>N152-P152</f>
        <v>-806441.25706700329</v>
      </c>
      <c r="S152" s="12"/>
      <c r="T152" s="13">
        <f t="shared" ref="T152:T181" si="83">K152</f>
        <v>2015</v>
      </c>
      <c r="U152" s="73">
        <f ca="1">Zalozenia!$N388*Zalozenia!$E458*Zalozenia!$C$496/Zalozenia!$F$507</f>
        <v>67811.053564800008</v>
      </c>
      <c r="V152" s="19">
        <f ca="1">Zalozenia!$N388*Zalozenia!$E458*Zalozenia!$D$496/Zalozenia!$G$507</f>
        <v>1962.9515505600002</v>
      </c>
      <c r="W152" s="19">
        <f ca="1">U152*Zalozenia!$C600+Zalozenia!$D600*Obliczenia!V152</f>
        <v>88101.171862718416</v>
      </c>
      <c r="X152" s="19">
        <f ca="1">Zalozenia!$F$514</f>
        <v>6.0740740740740735</v>
      </c>
      <c r="Y152" s="19">
        <f ca="1">Zalozenia!$N388*Obliczenia!X152</f>
        <v>514681.56444444443</v>
      </c>
      <c r="Z152" s="20">
        <f>W152-Y152</f>
        <v>-426580.39258172602</v>
      </c>
      <c r="AB152" s="12"/>
      <c r="AC152" s="13">
        <f t="shared" ref="AC152:AC181" si="84">T152</f>
        <v>2015</v>
      </c>
      <c r="AD152" s="73">
        <f ca="1">Zalozenia!$O388*Zalozenia!$F458*Zalozenia!$C$496/Zalozenia!$F$507</f>
        <v>64187.621807400006</v>
      </c>
      <c r="AE152" s="19">
        <f ca="1">Zalozenia!$O388*Zalozenia!$F458*Zalozenia!$D$496/Zalozenia!$G$507</f>
        <v>1858.0627365299999</v>
      </c>
      <c r="AF152" s="19">
        <f ca="1">AD152*Zalozenia!$C600+Zalozenia!$D600*Obliczenia!AE152</f>
        <v>83393.553160312091</v>
      </c>
      <c r="AG152" s="19">
        <f ca="1">Zalozenia!$F$514</f>
        <v>6.0740740740740735</v>
      </c>
      <c r="AH152" s="19">
        <f ca="1">Zalozenia!$O388*Obliczenia!AG152</f>
        <v>522827.26222222217</v>
      </c>
      <c r="AI152" s="20">
        <f>AF152-AH152</f>
        <v>-439433.70906191005</v>
      </c>
      <c r="AK152" s="12"/>
      <c r="AL152" s="13">
        <f t="shared" ref="AL152:AL181" si="85">AC152</f>
        <v>2015</v>
      </c>
      <c r="AM152" s="73">
        <f ca="1">Zalozenia!$P388*Zalozenia!$G458*Zalozenia!$C$496/Zalozenia!$F$507</f>
        <v>87262.874229109118</v>
      </c>
      <c r="AN152" s="19">
        <f ca="1">Zalozenia!$P388*Zalozenia!$G458*Zalozenia!$D$496/Zalozenia!$G$507</f>
        <v>2526.0305697899998</v>
      </c>
      <c r="AO152" s="19">
        <f ca="1">AM152*Zalozenia!$C600+Zalozenia!$D600*Obliczenia!AN152</f>
        <v>113373.27877300911</v>
      </c>
      <c r="AP152" s="19">
        <f ca="1">Zalozenia!$F$516</f>
        <v>7.8518518518518512</v>
      </c>
      <c r="AQ152" s="19">
        <f ca="1">Zalozenia!$P388*Obliczenia!AP152</f>
        <v>666751.30666666664</v>
      </c>
      <c r="AR152" s="20">
        <f>AO152-AQ152</f>
        <v>-553378.02789365756</v>
      </c>
      <c r="AT152" s="12"/>
      <c r="AU152" s="13">
        <f t="shared" ref="AU152:AU181" si="86">AL152</f>
        <v>2015</v>
      </c>
      <c r="AV152" s="73">
        <f ca="1">Zalozenia!$Q388*Zalozenia!$H458*Zalozenia!$C$496/Zalozenia!$F$507</f>
        <v>0</v>
      </c>
      <c r="AW152" s="19">
        <f ca="1">Zalozenia!$Q388*Zalozenia!$H458*Zalozenia!$D$496/Zalozenia!$G$507</f>
        <v>0</v>
      </c>
      <c r="AX152" s="19">
        <f ca="1">AV152*Zalozenia!$C600+Zalozenia!$D600*Obliczenia!AW152</f>
        <v>0</v>
      </c>
      <c r="AY152" s="19">
        <f ca="1">Zalozenia!$F$512</f>
        <v>3.2592592592592595</v>
      </c>
      <c r="AZ152" s="19">
        <f ca="1">Zalozenia!$Q388*Obliczenia!AY152</f>
        <v>0</v>
      </c>
      <c r="BA152" s="20">
        <f>AX152-AZ152</f>
        <v>0</v>
      </c>
      <c r="BC152" s="23">
        <f>H152</f>
        <v>-246320.3166157915</v>
      </c>
      <c r="BD152" s="23">
        <f>Q152</f>
        <v>-806441.25706700329</v>
      </c>
      <c r="BE152" s="23">
        <f>Z152</f>
        <v>-426580.39258172602</v>
      </c>
      <c r="BF152" s="23">
        <f>AI152</f>
        <v>-439433.70906191005</v>
      </c>
      <c r="BG152" s="23">
        <f>AR152</f>
        <v>-553378.02789365756</v>
      </c>
      <c r="BH152" s="23">
        <f>BA152</f>
        <v>0</v>
      </c>
    </row>
    <row r="153" spans="1:60" s="4" customFormat="1">
      <c r="A153" s="12"/>
      <c r="B153" s="13">
        <f t="shared" si="81"/>
        <v>2016</v>
      </c>
      <c r="C153" s="73">
        <f ca="1">Zalozenia!$L389*Zalozenia!$C459*Zalozenia!$C$496/Zalozenia!$F$507</f>
        <v>37379.862883669099</v>
      </c>
      <c r="D153" s="19">
        <f ca="1">Zalozenia!$L389*Zalozenia!$C459*Zalozenia!$D$496/Zalozenia!$G$507</f>
        <v>1082.048662422</v>
      </c>
      <c r="E153" s="19">
        <f ca="1">C153*Zalozenia!$C601+Zalozenia!$D601*Obliczenia!D153</f>
        <v>50749.899622422774</v>
      </c>
      <c r="F153" s="19">
        <f ca="1">F152*(1+Zalozenia!$K11)</f>
        <v>8.1894814814814794</v>
      </c>
      <c r="G153" s="19">
        <f ca="1">Zalozenia!$L389*Obliczenia!F153</f>
        <v>311681.52660711104</v>
      </c>
      <c r="H153" s="20">
        <f t="shared" ref="H153:H181" si="87">E153-G153</f>
        <v>-260931.62698468828</v>
      </c>
      <c r="I153"/>
      <c r="J153" s="12"/>
      <c r="K153" s="13">
        <f t="shared" si="82"/>
        <v>2016</v>
      </c>
      <c r="L153" s="73">
        <f ca="1">Zalozenia!$M389*Zalozenia!$D459*Zalozenia!$C$496/Zalozenia!$F$507</f>
        <v>111084.0785517273</v>
      </c>
      <c r="M153" s="19">
        <f ca="1">Zalozenia!$M389*Zalozenia!$D459*Zalozenia!$D$496/Zalozenia!$G$507</f>
        <v>3215.5917475500005</v>
      </c>
      <c r="N153" s="19">
        <f ca="1">L153*Zalozenia!$C601+Zalozenia!$D601*Obliczenia!M153</f>
        <v>150816.65370721463</v>
      </c>
      <c r="O153" s="19">
        <f ca="1">O152*(1+Zalozenia!$K11)</f>
        <v>7.5714074074074071</v>
      </c>
      <c r="P153" s="19">
        <f ca="1">Zalozenia!$M389*Obliczenia!O153</f>
        <v>1005266.7400222223</v>
      </c>
      <c r="Q153" s="20">
        <f t="shared" ref="Q153:Q181" si="88">N153-P153</f>
        <v>-854450.08631500765</v>
      </c>
      <c r="S153" s="12"/>
      <c r="T153" s="13">
        <f t="shared" si="83"/>
        <v>2016</v>
      </c>
      <c r="U153" s="73">
        <f ca="1">Zalozenia!$N389*Zalozenia!$E459*Zalozenia!$C$496/Zalozenia!$F$507</f>
        <v>68624.827886160012</v>
      </c>
      <c r="V153" s="19">
        <f ca="1">Zalozenia!$N389*Zalozenia!$E459*Zalozenia!$D$496/Zalozenia!$G$507</f>
        <v>1986.5081756520001</v>
      </c>
      <c r="W153" s="19">
        <f ca="1">U153*Zalozenia!$C601+Zalozenia!$D601*Obliczenia!V153</f>
        <v>93170.569877885209</v>
      </c>
      <c r="X153" s="19">
        <f ca="1">X152*(1+Zalozenia!$K11)</f>
        <v>6.3352592592592583</v>
      </c>
      <c r="Y153" s="19">
        <f ca="1">Zalozenia!$N389*Obliczenia!X153</f>
        <v>543254.95611644431</v>
      </c>
      <c r="Z153" s="20">
        <f t="shared" ref="Z153:Z181" si="89">W153-Y153</f>
        <v>-450084.38623855909</v>
      </c>
      <c r="AB153" s="12"/>
      <c r="AC153" s="13">
        <f t="shared" si="84"/>
        <v>2016</v>
      </c>
      <c r="AD153" s="73">
        <f ca="1">Zalozenia!$O389*Zalozenia!$F459*Zalozenia!$C$496/Zalozenia!$F$507</f>
        <v>65251.751795312746</v>
      </c>
      <c r="AE153" s="19">
        <f ca="1">Zalozenia!$O389*Zalozenia!$F459*Zalozenia!$D$496/Zalozenia!$G$507</f>
        <v>1888.866499338</v>
      </c>
      <c r="AF153" s="19">
        <f ca="1">AD153*Zalozenia!$C601+Zalozenia!$D601*Obliczenia!AE153</f>
        <v>88591.011264681176</v>
      </c>
      <c r="AG153" s="19">
        <f ca="1">AG152*(1+Zalozenia!$K11)</f>
        <v>6.3352592592592583</v>
      </c>
      <c r="AH153" s="19">
        <f ca="1">Zalozenia!$O389*Obliczenia!AG153</f>
        <v>554349.19877866656</v>
      </c>
      <c r="AI153" s="20">
        <f t="shared" ref="AI153:AI181" si="90">AF153-AH153</f>
        <v>-465758.18751398538</v>
      </c>
      <c r="AK153" s="12"/>
      <c r="AL153" s="13">
        <f t="shared" si="85"/>
        <v>2016</v>
      </c>
      <c r="AM153" s="73">
        <f ca="1">Zalozenia!$P389*Zalozenia!$G459*Zalozenia!$C$496/Zalozenia!$F$507</f>
        <v>88306.496460000009</v>
      </c>
      <c r="AN153" s="19">
        <f ca="1">Zalozenia!$P389*Zalozenia!$G459*Zalozenia!$D$496/Zalozenia!$G$507</f>
        <v>2556.240687</v>
      </c>
      <c r="AO153" s="19">
        <f ca="1">AM153*Zalozenia!$C601+Zalozenia!$D601*Obliczenia!AN153</f>
        <v>119891.98155434584</v>
      </c>
      <c r="AP153" s="19">
        <f ca="1">AP152*(1+Zalozenia!$K11)</f>
        <v>8.1894814814814794</v>
      </c>
      <c r="AQ153" s="19">
        <f ca="1">Zalozenia!$P389*Obliczenia!AP153</f>
        <v>703738.52266666654</v>
      </c>
      <c r="AR153" s="20">
        <f t="shared" ref="AR153:AR181" si="91">AO153-AQ153</f>
        <v>-583846.54111232073</v>
      </c>
      <c r="AT153" s="12"/>
      <c r="AU153" s="13">
        <f t="shared" si="86"/>
        <v>2016</v>
      </c>
      <c r="AV153" s="73">
        <f ca="1">Zalozenia!$Q389*Zalozenia!$H459*Zalozenia!$C$496/Zalozenia!$F$507</f>
        <v>0</v>
      </c>
      <c r="AW153" s="19">
        <f ca="1">Zalozenia!$Q389*Zalozenia!$H459*Zalozenia!$D$496/Zalozenia!$G$507</f>
        <v>0</v>
      </c>
      <c r="AX153" s="19">
        <f ca="1">AV153*Zalozenia!$C601+Zalozenia!$D601*Obliczenia!AW153</f>
        <v>0</v>
      </c>
      <c r="AY153" s="19">
        <f ca="1">AY152*(1+Zalozenia!$K11)</f>
        <v>3.3994074074074074</v>
      </c>
      <c r="AZ153" s="19">
        <f ca="1">Zalozenia!$Q389*Obliczenia!AY153</f>
        <v>0</v>
      </c>
      <c r="BA153" s="20">
        <f t="shared" ref="BA153:BA181" si="92">AX153-AZ153</f>
        <v>0</v>
      </c>
      <c r="BC153" s="23">
        <f t="shared" ref="BC153:BC181" si="93">H153</f>
        <v>-260931.62698468828</v>
      </c>
      <c r="BD153" s="23">
        <f t="shared" ref="BD153:BD181" si="94">Q153</f>
        <v>-854450.08631500765</v>
      </c>
      <c r="BE153" s="23">
        <f t="shared" ref="BE153:BE181" si="95">Z153</f>
        <v>-450084.38623855909</v>
      </c>
      <c r="BF153" s="23">
        <f t="shared" ref="BF153:BF181" si="96">AI153</f>
        <v>-465758.18751398538</v>
      </c>
      <c r="BG153" s="23">
        <f t="shared" ref="BG153:BG181" si="97">AR153</f>
        <v>-583846.54111232073</v>
      </c>
      <c r="BH153" s="23">
        <f t="shared" ref="BH153:BH181" si="98">BA153</f>
        <v>0</v>
      </c>
    </row>
    <row r="154" spans="1:60" s="4" customFormat="1">
      <c r="A154" s="12"/>
      <c r="B154" s="13">
        <f t="shared" si="81"/>
        <v>2017</v>
      </c>
      <c r="C154" s="73">
        <f ca="1">Zalozenia!$L390*Zalozenia!$C460*Zalozenia!$C$496/Zalozenia!$F$507</f>
        <v>37969.378014501825</v>
      </c>
      <c r="D154" s="19">
        <f ca="1">Zalozenia!$L390*Zalozenia!$C460*Zalozenia!$D$496/Zalozenia!$G$507</f>
        <v>1099.113574104</v>
      </c>
      <c r="E154" s="19">
        <f ca="1">C154*Zalozenia!$C602+Zalozenia!$D602*Obliczenia!D154</f>
        <v>53870.034910556627</v>
      </c>
      <c r="F154" s="19">
        <f ca="1">F153*(1+Zalozenia!$K12)</f>
        <v>8.5416291851851831</v>
      </c>
      <c r="G154" s="19">
        <f ca="1">Zalozenia!$L390*Obliczenia!F154</f>
        <v>330210.70600400708</v>
      </c>
      <c r="H154" s="20">
        <f t="shared" si="87"/>
        <v>-276340.67109345045</v>
      </c>
      <c r="I154"/>
      <c r="J154" s="12"/>
      <c r="K154" s="13">
        <f t="shared" si="82"/>
        <v>2017</v>
      </c>
      <c r="L154" s="73">
        <f ca="1">Zalozenia!$M390*Zalozenia!$D460*Zalozenia!$C$496/Zalozenia!$F$507</f>
        <v>112854.23425309092</v>
      </c>
      <c r="M154" s="19">
        <f ca="1">Zalozenia!$M390*Zalozenia!$D460*Zalozenia!$D$496/Zalozenia!$G$507</f>
        <v>3266.8330968000005</v>
      </c>
      <c r="N154" s="19">
        <f ca="1">L154*Zalozenia!$C602+Zalozenia!$D602*Obliczenia!M154</f>
        <v>160114.85720667287</v>
      </c>
      <c r="O154" s="19">
        <f ca="1">O153*(1+Zalozenia!$K12)</f>
        <v>7.896977925925925</v>
      </c>
      <c r="P154" s="19">
        <f ca="1">Zalozenia!$M390*Obliczenia!O154</f>
        <v>1065201.2408899555</v>
      </c>
      <c r="Q154" s="20">
        <f t="shared" si="88"/>
        <v>-905086.38368328265</v>
      </c>
      <c r="S154" s="12"/>
      <c r="T154" s="13">
        <f t="shared" si="83"/>
        <v>2017</v>
      </c>
      <c r="U154" s="73">
        <f ca="1">Zalozenia!$N390*Zalozenia!$E460*Zalozenia!$C$496/Zalozenia!$F$507</f>
        <v>69438.602207520016</v>
      </c>
      <c r="V154" s="19">
        <f ca="1">Zalozenia!$N390*Zalozenia!$E460*Zalozenia!$D$496/Zalozenia!$G$507</f>
        <v>2010.0648007440002</v>
      </c>
      <c r="W154" s="19">
        <f ca="1">U154*Zalozenia!$C602+Zalozenia!$D602*Obliczenia!V154</f>
        <v>98517.808841395017</v>
      </c>
      <c r="X154" s="19">
        <f ca="1">X153*(1+Zalozenia!$K12)</f>
        <v>6.607675407407406</v>
      </c>
      <c r="Y154" s="19">
        <f ca="1">Zalozenia!$N390*Obliczenia!X154</f>
        <v>573334.01325957861</v>
      </c>
      <c r="Z154" s="20">
        <f t="shared" si="89"/>
        <v>-474816.2044181836</v>
      </c>
      <c r="AB154" s="12"/>
      <c r="AC154" s="13">
        <f t="shared" si="84"/>
        <v>2017</v>
      </c>
      <c r="AD154" s="73">
        <f ca="1">Zalozenia!$O390*Zalozenia!$F460*Zalozenia!$C$496/Zalozenia!$F$507</f>
        <v>66315.881783225457</v>
      </c>
      <c r="AE154" s="19">
        <f ca="1">Zalozenia!$O390*Zalozenia!$F460*Zalozenia!$D$496/Zalozenia!$G$507</f>
        <v>1919.6702621459999</v>
      </c>
      <c r="AF154" s="19">
        <f ca="1">AD154*Zalozenia!$C602+Zalozenia!$D602*Obliczenia!AE154</f>
        <v>94087.368653293786</v>
      </c>
      <c r="AG154" s="19">
        <f ca="1">AG153*(1+Zalozenia!$K12)</f>
        <v>6.607675407407406</v>
      </c>
      <c r="AH154" s="19">
        <f ca="1">Zalozenia!$O390*Obliczenia!AG154</f>
        <v>587615.31427111628</v>
      </c>
      <c r="AI154" s="20">
        <f t="shared" si="90"/>
        <v>-493527.94561782246</v>
      </c>
      <c r="AK154" s="12"/>
      <c r="AL154" s="13">
        <f t="shared" si="85"/>
        <v>2017</v>
      </c>
      <c r="AM154" s="73">
        <f ca="1">Zalozenia!$P390*Zalozenia!$G460*Zalozenia!$C$496/Zalozenia!$F$507</f>
        <v>89350.118690890929</v>
      </c>
      <c r="AN154" s="19">
        <f ca="1">Zalozenia!$P390*Zalozenia!$G460*Zalozenia!$D$496/Zalozenia!$G$507</f>
        <v>2586.4508042100001</v>
      </c>
      <c r="AO154" s="19">
        <f ca="1">AM154*Zalozenia!$C602+Zalozenia!$D602*Obliczenia!AN154</f>
        <v>126767.78669648759</v>
      </c>
      <c r="AP154" s="19">
        <f ca="1">AP153*(1+Zalozenia!$K12)</f>
        <v>8.5416291851851831</v>
      </c>
      <c r="AQ154" s="19">
        <f ca="1">Zalozenia!$P390*Obliczenia!AP154</f>
        <v>742673.81607663981</v>
      </c>
      <c r="AR154" s="20">
        <f t="shared" si="91"/>
        <v>-615906.02938015223</v>
      </c>
      <c r="AT154" s="12"/>
      <c r="AU154" s="13">
        <f t="shared" si="86"/>
        <v>2017</v>
      </c>
      <c r="AV154" s="73">
        <f ca="1">Zalozenia!$Q390*Zalozenia!$H460*Zalozenia!$C$496/Zalozenia!$F$507</f>
        <v>0</v>
      </c>
      <c r="AW154" s="19">
        <f ca="1">Zalozenia!$Q390*Zalozenia!$H460*Zalozenia!$D$496/Zalozenia!$G$507</f>
        <v>0</v>
      </c>
      <c r="AX154" s="19">
        <f ca="1">AV154*Zalozenia!$C602+Zalozenia!$D602*Obliczenia!AW154</f>
        <v>0</v>
      </c>
      <c r="AY154" s="19">
        <f ca="1">AY153*(1+Zalozenia!$K12)</f>
        <v>3.5455819259259256</v>
      </c>
      <c r="AZ154" s="19">
        <f ca="1">Zalozenia!$Q390*Obliczenia!AY154</f>
        <v>0</v>
      </c>
      <c r="BA154" s="20">
        <f t="shared" si="92"/>
        <v>0</v>
      </c>
      <c r="BC154" s="23">
        <f t="shared" si="93"/>
        <v>-276340.67109345045</v>
      </c>
      <c r="BD154" s="23">
        <f t="shared" si="94"/>
        <v>-905086.38368328265</v>
      </c>
      <c r="BE154" s="23">
        <f t="shared" si="95"/>
        <v>-474816.2044181836</v>
      </c>
      <c r="BF154" s="23">
        <f t="shared" si="96"/>
        <v>-493527.94561782246</v>
      </c>
      <c r="BG154" s="23">
        <f t="shared" si="97"/>
        <v>-615906.02938015223</v>
      </c>
      <c r="BH154" s="23">
        <f t="shared" si="98"/>
        <v>0</v>
      </c>
    </row>
    <row r="155" spans="1:60" s="4" customFormat="1">
      <c r="A155" s="12"/>
      <c r="B155" s="13">
        <f t="shared" si="81"/>
        <v>2018</v>
      </c>
      <c r="C155" s="73">
        <f ca="1">Zalozenia!$L391*Zalozenia!$C461*Zalozenia!$C$496/Zalozenia!$F$507</f>
        <v>38558.893145334543</v>
      </c>
      <c r="D155" s="19">
        <f ca="1">Zalozenia!$L391*Zalozenia!$C461*Zalozenia!$D$496/Zalozenia!$G$507</f>
        <v>1116.178485786</v>
      </c>
      <c r="E155" s="19">
        <f ca="1">C155*Zalozenia!$C603+Zalozenia!$D603*Obliczenia!D155</f>
        <v>57168.213827887113</v>
      </c>
      <c r="F155" s="19">
        <f ca="1">F154*(1+Zalozenia!$K13)</f>
        <v>8.8918359817777741</v>
      </c>
      <c r="G155" s="19">
        <f ca="1">Zalozenia!$L391*Obliczenia!F155</f>
        <v>349086.42052682588</v>
      </c>
      <c r="H155" s="20">
        <f t="shared" si="87"/>
        <v>-291918.20669893874</v>
      </c>
      <c r="I155"/>
      <c r="J155" s="12"/>
      <c r="K155" s="13">
        <f t="shared" si="82"/>
        <v>2018</v>
      </c>
      <c r="L155" s="73">
        <f ca="1">Zalozenia!$M391*Zalozenia!$D461*Zalozenia!$C$496/Zalozenia!$F$507</f>
        <v>114624.38995445456</v>
      </c>
      <c r="M155" s="19">
        <f ca="1">Zalozenia!$M391*Zalozenia!$D461*Zalozenia!$D$496/Zalozenia!$G$507</f>
        <v>3318.0744460499996</v>
      </c>
      <c r="N155" s="19">
        <f ca="1">L155*Zalozenia!$C603+Zalozenia!$D603*Obliczenia!M155</f>
        <v>169944.49529732525</v>
      </c>
      <c r="O155" s="19">
        <f ca="1">O154*(1+Zalozenia!$K13)</f>
        <v>8.2207540208888865</v>
      </c>
      <c r="P155" s="19">
        <f ca="1">Zalozenia!$M391*Obliczenia!O155</f>
        <v>1126267.5520861391</v>
      </c>
      <c r="Q155" s="20">
        <f t="shared" si="88"/>
        <v>-956323.05678881379</v>
      </c>
      <c r="S155" s="12"/>
      <c r="T155" s="13">
        <f t="shared" si="83"/>
        <v>2018</v>
      </c>
      <c r="U155" s="73">
        <f ca="1">Zalozenia!$N391*Zalozenia!$E461*Zalozenia!$C$496/Zalozenia!$F$507</f>
        <v>70252.37652888002</v>
      </c>
      <c r="V155" s="19">
        <f ca="1">Zalozenia!$N391*Zalozenia!$E461*Zalozenia!$D$496/Zalozenia!$G$507</f>
        <v>2033.6214258360003</v>
      </c>
      <c r="W155" s="19">
        <f ca="1">U155*Zalozenia!$C603+Zalozenia!$D603*Obliczenia!V155</f>
        <v>104157.628907618</v>
      </c>
      <c r="X155" s="19">
        <f ca="1">X154*(1+Zalozenia!$K13)</f>
        <v>6.8785900991111095</v>
      </c>
      <c r="Y155" s="19">
        <f ca="1">Zalozenia!$N391*Obliczenia!X155</f>
        <v>603835.28468858358</v>
      </c>
      <c r="Z155" s="20">
        <f t="shared" si="89"/>
        <v>-499677.65578096558</v>
      </c>
      <c r="AB155" s="12"/>
      <c r="AC155" s="13">
        <f t="shared" si="84"/>
        <v>2018</v>
      </c>
      <c r="AD155" s="73">
        <f ca="1">Zalozenia!$O391*Zalozenia!$F461*Zalozenia!$C$496/Zalozenia!$F$507</f>
        <v>67380.01177113819</v>
      </c>
      <c r="AE155" s="19">
        <f ca="1">Zalozenia!$O391*Zalozenia!$F461*Zalozenia!$D$496/Zalozenia!$G$507</f>
        <v>1950.474024954</v>
      </c>
      <c r="AF155" s="19">
        <f ca="1">AD155*Zalozenia!$C603+Zalozenia!$D603*Obliczenia!AE155</f>
        <v>99899.00140907061</v>
      </c>
      <c r="AG155" s="19">
        <f ca="1">AG154*(1+Zalozenia!$K13)</f>
        <v>6.8785900991111095</v>
      </c>
      <c r="AH155" s="19">
        <f ca="1">Zalozenia!$O391*Obliczenia!AG155</f>
        <v>621523.23519894283</v>
      </c>
      <c r="AI155" s="20">
        <f t="shared" si="90"/>
        <v>-521624.2337898722</v>
      </c>
      <c r="AK155" s="12"/>
      <c r="AL155" s="13">
        <f t="shared" si="85"/>
        <v>2018</v>
      </c>
      <c r="AM155" s="73">
        <f ca="1">Zalozenia!$P391*Zalozenia!$G461*Zalozenia!$C$496/Zalozenia!$F$507</f>
        <v>90393.740921781835</v>
      </c>
      <c r="AN155" s="19">
        <f ca="1">Zalozenia!$P391*Zalozenia!$G461*Zalozenia!$D$496/Zalozenia!$G$507</f>
        <v>2616.6609214199998</v>
      </c>
      <c r="AO155" s="19">
        <f ca="1">AM155*Zalozenia!$C603+Zalozenia!$D603*Obliczenia!AN155</f>
        <v>134019.63303877451</v>
      </c>
      <c r="AP155" s="19">
        <f ca="1">AP154*(1+Zalozenia!$K13)</f>
        <v>8.8918359817777741</v>
      </c>
      <c r="AQ155" s="19">
        <f ca="1">Zalozenia!$P391*Obliczenia!AP155</f>
        <v>782153.63548543607</v>
      </c>
      <c r="AR155" s="20">
        <f t="shared" si="91"/>
        <v>-648134.00244666159</v>
      </c>
      <c r="AT155" s="12"/>
      <c r="AU155" s="13">
        <f t="shared" si="86"/>
        <v>2018</v>
      </c>
      <c r="AV155" s="73">
        <f ca="1">Zalozenia!$Q391*Zalozenia!$H461*Zalozenia!$C$496/Zalozenia!$F$507</f>
        <v>0</v>
      </c>
      <c r="AW155" s="19">
        <f ca="1">Zalozenia!$Q391*Zalozenia!$H461*Zalozenia!$D$496/Zalozenia!$G$507</f>
        <v>0</v>
      </c>
      <c r="AX155" s="19">
        <f ca="1">AV155*Zalozenia!$C603+Zalozenia!$D603*Obliczenia!AW155</f>
        <v>0</v>
      </c>
      <c r="AY155" s="19">
        <f ca="1">AY154*(1+Zalozenia!$K13)</f>
        <v>3.6909507848888881</v>
      </c>
      <c r="AZ155" s="19">
        <f ca="1">Zalozenia!$Q391*Obliczenia!AY155</f>
        <v>0</v>
      </c>
      <c r="BA155" s="20">
        <f t="shared" si="92"/>
        <v>0</v>
      </c>
      <c r="BC155" s="23">
        <f t="shared" si="93"/>
        <v>-291918.20669893874</v>
      </c>
      <c r="BD155" s="23">
        <f t="shared" si="94"/>
        <v>-956323.05678881379</v>
      </c>
      <c r="BE155" s="23">
        <f t="shared" si="95"/>
        <v>-499677.65578096558</v>
      </c>
      <c r="BF155" s="23">
        <f t="shared" si="96"/>
        <v>-521624.2337898722</v>
      </c>
      <c r="BG155" s="23">
        <f t="shared" si="97"/>
        <v>-648134.00244666159</v>
      </c>
      <c r="BH155" s="23">
        <f t="shared" si="98"/>
        <v>0</v>
      </c>
    </row>
    <row r="156" spans="1:60" s="4" customFormat="1">
      <c r="A156" s="12"/>
      <c r="B156" s="13">
        <f t="shared" si="81"/>
        <v>2019</v>
      </c>
      <c r="C156" s="73">
        <f ca="1">Zalozenia!$L392*Zalozenia!$C462*Zalozenia!$C$496/Zalozenia!$F$507</f>
        <v>39148.408276167276</v>
      </c>
      <c r="D156" s="19">
        <f ca="1">Zalozenia!$L392*Zalozenia!$C462*Zalozenia!$D$496/Zalozenia!$G$507</f>
        <v>1133.243397468</v>
      </c>
      <c r="E156" s="19">
        <f ca="1">C156*Zalozenia!$C604+Zalozenia!$D604*Obliczenia!D156</f>
        <v>60654.142027083486</v>
      </c>
      <c r="F156" s="19">
        <f ca="1">F155*(1+Zalozenia!$K14)</f>
        <v>9.256401257030662</v>
      </c>
      <c r="G156" s="19">
        <f ca="1">Zalozenia!$L392*Obliczenia!F156</f>
        <v>368954.85944372317</v>
      </c>
      <c r="H156" s="20">
        <f t="shared" si="87"/>
        <v>-308300.71741663967</v>
      </c>
      <c r="I156"/>
      <c r="J156" s="12"/>
      <c r="K156" s="13">
        <f t="shared" si="82"/>
        <v>2019</v>
      </c>
      <c r="L156" s="73">
        <f ca="1">Zalozenia!$M392*Zalozenia!$D462*Zalozenia!$C$496/Zalozenia!$F$507</f>
        <v>116394.5456558182</v>
      </c>
      <c r="M156" s="19">
        <f ca="1">Zalozenia!$M392*Zalozenia!$D462*Zalozenia!$D$496/Zalozenia!$G$507</f>
        <v>3369.3157953000004</v>
      </c>
      <c r="N156" s="19">
        <f ca="1">L156*Zalozenia!$C604+Zalozenia!$D604*Obliczenia!M156</f>
        <v>180334.56823029291</v>
      </c>
      <c r="O156" s="19">
        <f ca="1">O155*(1+Zalozenia!$K14)</f>
        <v>8.557804935745331</v>
      </c>
      <c r="P156" s="19">
        <f ca="1">Zalozenia!$M392*Obliczenia!O156</f>
        <v>1190550.6975144742</v>
      </c>
      <c r="Q156" s="20">
        <f t="shared" si="88"/>
        <v>-1010216.1292841813</v>
      </c>
      <c r="S156" s="12"/>
      <c r="T156" s="13">
        <f t="shared" si="83"/>
        <v>2019</v>
      </c>
      <c r="U156" s="73">
        <f ca="1">Zalozenia!$N392*Zalozenia!$E462*Zalozenia!$C$496/Zalozenia!$F$507</f>
        <v>71066.15085024001</v>
      </c>
      <c r="V156" s="19">
        <f ca="1">Zalozenia!$N392*Zalozenia!$E462*Zalozenia!$D$496/Zalozenia!$G$507</f>
        <v>2057.1780509280002</v>
      </c>
      <c r="W156" s="19">
        <f ca="1">U156*Zalozenia!$C604+Zalozenia!$D604*Obliczenia!V156</f>
        <v>110105.5342168972</v>
      </c>
      <c r="X156" s="19">
        <f ca="1">X155*(1+Zalozenia!$K14)</f>
        <v>7.1606122931746645</v>
      </c>
      <c r="Y156" s="19">
        <f ca="1">Zalozenia!$N392*Obliczenia!X156</f>
        <v>635873.88589847763</v>
      </c>
      <c r="Z156" s="20">
        <f t="shared" si="89"/>
        <v>-525768.35168158042</v>
      </c>
      <c r="AB156" s="12"/>
      <c r="AC156" s="13">
        <f t="shared" si="84"/>
        <v>2019</v>
      </c>
      <c r="AD156" s="73">
        <f ca="1">Zalozenia!$O392*Zalozenia!$F462*Zalozenia!$C$496/Zalozenia!$F$507</f>
        <v>68444.141759050937</v>
      </c>
      <c r="AE156" s="19">
        <f ca="1">Zalozenia!$O392*Zalozenia!$F462*Zalozenia!$D$496/Zalozenia!$G$507</f>
        <v>1981.2777877620003</v>
      </c>
      <c r="AF156" s="19">
        <f ca="1">AD156*Zalozenia!$C604+Zalozenia!$D604*Obliczenia!AE156</f>
        <v>106043.15419134444</v>
      </c>
      <c r="AG156" s="19">
        <f ca="1">AG155*(1+Zalozenia!$K14)</f>
        <v>7.1606122931746645</v>
      </c>
      <c r="AH156" s="19">
        <f ca="1">Zalozenia!$O392*Obliczenia!AG156</f>
        <v>657223.82429956144</v>
      </c>
      <c r="AI156" s="20">
        <f t="shared" si="90"/>
        <v>-551180.67010821705</v>
      </c>
      <c r="AK156" s="12"/>
      <c r="AL156" s="13">
        <f t="shared" si="85"/>
        <v>2019</v>
      </c>
      <c r="AM156" s="73">
        <f ca="1">Zalozenia!$P392*Zalozenia!$G462*Zalozenia!$C$496/Zalozenia!$F$507</f>
        <v>91437.36315267274</v>
      </c>
      <c r="AN156" s="19">
        <f ca="1">Zalozenia!$P392*Zalozenia!$G462*Zalozenia!$D$496/Zalozenia!$G$507</f>
        <v>2646.8710386300004</v>
      </c>
      <c r="AO156" s="19">
        <f ca="1">AM156*Zalozenia!$C604+Zalozenia!$D604*Obliczenia!AN156</f>
        <v>141667.44078380687</v>
      </c>
      <c r="AP156" s="19">
        <f ca="1">AP155*(1+Zalozenia!$K14)</f>
        <v>9.256401257030662</v>
      </c>
      <c r="AQ156" s="19">
        <f ca="1">Zalozenia!$P392*Obliczenia!AP156</f>
        <v>823622.36540092912</v>
      </c>
      <c r="AR156" s="20">
        <f t="shared" si="91"/>
        <v>-681954.92461712228</v>
      </c>
      <c r="AT156" s="12"/>
      <c r="AU156" s="13">
        <f t="shared" si="86"/>
        <v>2019</v>
      </c>
      <c r="AV156" s="73">
        <f ca="1">Zalozenia!$Q392*Zalozenia!$H462*Zalozenia!$C$496/Zalozenia!$F$507</f>
        <v>0</v>
      </c>
      <c r="AW156" s="19">
        <f ca="1">Zalozenia!$Q392*Zalozenia!$H462*Zalozenia!$D$496/Zalozenia!$G$507</f>
        <v>0</v>
      </c>
      <c r="AX156" s="19">
        <f ca="1">AV156*Zalozenia!$C604+Zalozenia!$D604*Obliczenia!AW156</f>
        <v>0</v>
      </c>
      <c r="AY156" s="19">
        <f ca="1">AY155*(1+Zalozenia!$K14)</f>
        <v>3.8422797670693321</v>
      </c>
      <c r="AZ156" s="19">
        <f ca="1">Zalozenia!$Q392*Obliczenia!AY156</f>
        <v>0</v>
      </c>
      <c r="BA156" s="20">
        <f t="shared" si="92"/>
        <v>0</v>
      </c>
      <c r="BC156" s="23">
        <f t="shared" si="93"/>
        <v>-308300.71741663967</v>
      </c>
      <c r="BD156" s="23">
        <f t="shared" si="94"/>
        <v>-1010216.1292841813</v>
      </c>
      <c r="BE156" s="23">
        <f t="shared" si="95"/>
        <v>-525768.35168158042</v>
      </c>
      <c r="BF156" s="23">
        <f t="shared" si="96"/>
        <v>-551180.67010821705</v>
      </c>
      <c r="BG156" s="23">
        <f t="shared" si="97"/>
        <v>-681954.92461712228</v>
      </c>
      <c r="BH156" s="23">
        <f t="shared" si="98"/>
        <v>0</v>
      </c>
    </row>
    <row r="157" spans="1:60" s="4" customFormat="1">
      <c r="A157" s="12"/>
      <c r="B157" s="13">
        <f t="shared" si="81"/>
        <v>2020</v>
      </c>
      <c r="C157" s="73">
        <f ca="1">Zalozenia!$L393*Zalozenia!$C463*Zalozenia!$C$496/Zalozenia!$F$507</f>
        <v>39737.923407000002</v>
      </c>
      <c r="D157" s="19">
        <f ca="1">Zalozenia!$L393*Zalozenia!$C463*Zalozenia!$D$496/Zalozenia!$G$507</f>
        <v>1150.30830915</v>
      </c>
      <c r="E157" s="19">
        <f ca="1">C157*Zalozenia!$C605+Zalozenia!$D605*Obliczenia!D157</f>
        <v>63106.688119125545</v>
      </c>
      <c r="F157" s="19">
        <f ca="1">F156*(1+Zalozenia!$K15)</f>
        <v>9.6359137085689177</v>
      </c>
      <c r="G157" s="19">
        <f ca="1">Zalozenia!$L393*Obliczenia!F157</f>
        <v>389865.69607890042</v>
      </c>
      <c r="H157" s="20">
        <f t="shared" si="87"/>
        <v>-326759.00795977487</v>
      </c>
      <c r="I157"/>
      <c r="J157" s="12"/>
      <c r="K157" s="13">
        <f t="shared" si="82"/>
        <v>2020</v>
      </c>
      <c r="L157" s="73">
        <f ca="1">Zalozenia!$M393*Zalozenia!$D463*Zalozenia!$C$496/Zalozenia!$F$507</f>
        <v>118164.70135718184</v>
      </c>
      <c r="M157" s="19">
        <f ca="1">Zalozenia!$M393*Zalozenia!$D463*Zalozenia!$D$496/Zalozenia!$G$507</f>
        <v>3420.5571445500004</v>
      </c>
      <c r="N157" s="19">
        <f ca="1">L157*Zalozenia!$C605+Zalozenia!$D605*Obliczenia!M157</f>
        <v>187654.06734675285</v>
      </c>
      <c r="O157" s="19">
        <f ca="1">O156*(1+Zalozenia!$K15)</f>
        <v>8.9086749381108881</v>
      </c>
      <c r="P157" s="19">
        <f ca="1">Zalozenia!$M393*Obliczenia!O157</f>
        <v>1258211.8051128755</v>
      </c>
      <c r="Q157" s="20">
        <f t="shared" si="88"/>
        <v>-1070557.7377661227</v>
      </c>
      <c r="S157" s="12"/>
      <c r="T157" s="13">
        <f t="shared" si="83"/>
        <v>2020</v>
      </c>
      <c r="U157" s="73">
        <f ca="1">Zalozenia!$N393*Zalozenia!$E463*Zalozenia!$C$496/Zalozenia!$F$507</f>
        <v>71879.9251716</v>
      </c>
      <c r="V157" s="19">
        <f ca="1">Zalozenia!$N393*Zalozenia!$E463*Zalozenia!$D$496/Zalozenia!$G$507</f>
        <v>2080.7346760199998</v>
      </c>
      <c r="W157" s="19">
        <f ca="1">U157*Zalozenia!$C605+Zalozenia!$D605*Obliczenia!V157</f>
        <v>114150.50488096691</v>
      </c>
      <c r="X157" s="19">
        <f ca="1">X156*(1+Zalozenia!$K15)</f>
        <v>7.4541973971948252</v>
      </c>
      <c r="Y157" s="19">
        <f ca="1">Zalozenia!$N393*Obliczenia!X157</f>
        <v>669524.60529402154</v>
      </c>
      <c r="Z157" s="20">
        <f t="shared" si="89"/>
        <v>-555374.10041305469</v>
      </c>
      <c r="AB157" s="12"/>
      <c r="AC157" s="13">
        <f t="shared" si="84"/>
        <v>2020</v>
      </c>
      <c r="AD157" s="73">
        <f ca="1">Zalozenia!$O393*Zalozenia!$F463*Zalozenia!$C$496/Zalozenia!$F$507</f>
        <v>69508.271746963655</v>
      </c>
      <c r="AE157" s="19">
        <f ca="1">Zalozenia!$O393*Zalozenia!$F463*Zalozenia!$D$496/Zalozenia!$G$507</f>
        <v>2012.0815505700002</v>
      </c>
      <c r="AF157" s="19">
        <f ca="1">AD157*Zalozenia!$C605+Zalozenia!$D605*Obliczenia!AE157</f>
        <v>110384.14820796529</v>
      </c>
      <c r="AG157" s="19">
        <f ca="1">AG156*(1+Zalozenia!$K15)</f>
        <v>7.4541973971948252</v>
      </c>
      <c r="AH157" s="19">
        <f ca="1">Zalozenia!$O393*Obliczenia!AG157</f>
        <v>694807.0811480612</v>
      </c>
      <c r="AI157" s="20">
        <f t="shared" si="90"/>
        <v>-584422.9329400959</v>
      </c>
      <c r="AK157" s="12"/>
      <c r="AL157" s="13">
        <f t="shared" si="85"/>
        <v>2020</v>
      </c>
      <c r="AM157" s="73">
        <f ca="1">Zalozenia!$P393*Zalozenia!$G463*Zalozenia!$C$496/Zalozenia!$F$507</f>
        <v>92480.98538356366</v>
      </c>
      <c r="AN157" s="19">
        <f ca="1">Zalozenia!$P393*Zalozenia!$G463*Zalozenia!$D$496/Zalozenia!$G$507</f>
        <v>2677.0811558400005</v>
      </c>
      <c r="AO157" s="19">
        <f ca="1">AM157*Zalozenia!$C605+Zalozenia!$D605*Obliczenia!AN157</f>
        <v>146866.47416814679</v>
      </c>
      <c r="AP157" s="19">
        <f ca="1">AP156*(1+Zalozenia!$K15)</f>
        <v>9.6359137085689177</v>
      </c>
      <c r="AQ157" s="19">
        <f ca="1">Zalozenia!$P393*Obliczenia!AP157</f>
        <v>867176.73090824124</v>
      </c>
      <c r="AR157" s="20">
        <f t="shared" si="91"/>
        <v>-720310.2567400944</v>
      </c>
      <c r="AT157" s="12"/>
      <c r="AU157" s="13">
        <f t="shared" si="86"/>
        <v>2020</v>
      </c>
      <c r="AV157" s="73">
        <f ca="1">Zalozenia!$Q393*Zalozenia!$H463*Zalozenia!$C$496/Zalozenia!$F$507</f>
        <v>0</v>
      </c>
      <c r="AW157" s="19">
        <f ca="1">Zalozenia!$Q393*Zalozenia!$H463*Zalozenia!$D$496/Zalozenia!$G$507</f>
        <v>0</v>
      </c>
      <c r="AX157" s="19">
        <f ca="1">AV157*Zalozenia!$C605+Zalozenia!$D605*Obliczenia!AW157</f>
        <v>0</v>
      </c>
      <c r="AY157" s="19">
        <f ca="1">AY156*(1+Zalozenia!$K15)</f>
        <v>3.9998132375191742</v>
      </c>
      <c r="AZ157" s="19">
        <f ca="1">Zalozenia!$Q393*Obliczenia!AY157</f>
        <v>0</v>
      </c>
      <c r="BA157" s="20">
        <f t="shared" si="92"/>
        <v>0</v>
      </c>
      <c r="BC157" s="23">
        <f t="shared" si="93"/>
        <v>-326759.00795977487</v>
      </c>
      <c r="BD157" s="23">
        <f t="shared" si="94"/>
        <v>-1070557.7377661227</v>
      </c>
      <c r="BE157" s="23">
        <f t="shared" si="95"/>
        <v>-555374.10041305469</v>
      </c>
      <c r="BF157" s="23">
        <f t="shared" si="96"/>
        <v>-584422.9329400959</v>
      </c>
      <c r="BG157" s="23">
        <f t="shared" si="97"/>
        <v>-720310.2567400944</v>
      </c>
      <c r="BH157" s="23">
        <f t="shared" si="98"/>
        <v>0</v>
      </c>
    </row>
    <row r="158" spans="1:60" s="4" customFormat="1">
      <c r="A158" s="12"/>
      <c r="B158" s="13">
        <f t="shared" si="81"/>
        <v>2021</v>
      </c>
      <c r="C158" s="73">
        <f ca="1">Zalozenia!$L394*Zalozenia!$C464*Zalozenia!$C$496/Zalozenia!$F$507</f>
        <v>40327.438537832735</v>
      </c>
      <c r="D158" s="19">
        <f ca="1">Zalozenia!$L394*Zalozenia!$C464*Zalozenia!$D$496/Zalozenia!$G$507</f>
        <v>1167.373220832</v>
      </c>
      <c r="E158" s="19">
        <f ca="1">C158*Zalozenia!$C606+Zalozenia!$D606*Obliczenia!D158</f>
        <v>65643.952677002802</v>
      </c>
      <c r="F158" s="19">
        <f ca="1">F157*(1+Zalozenia!$K16)</f>
        <v>10.030986170620242</v>
      </c>
      <c r="G158" s="19">
        <f ca="1">Zalozenia!$L394*Obliczenia!F158</f>
        <v>411871.00819943735</v>
      </c>
      <c r="H158" s="20">
        <f t="shared" si="87"/>
        <v>-346227.05552243453</v>
      </c>
      <c r="I158"/>
      <c r="J158" s="12"/>
      <c r="K158" s="13">
        <f t="shared" si="82"/>
        <v>2021</v>
      </c>
      <c r="L158" s="73">
        <f ca="1">Zalozenia!$M394*Zalozenia!$D464*Zalozenia!$C$496/Zalozenia!$F$507</f>
        <v>119934.85705854549</v>
      </c>
      <c r="M158" s="19">
        <f ca="1">Zalozenia!$M394*Zalozenia!$D464*Zalozenia!$D$496/Zalozenia!$G$507</f>
        <v>3471.7984938000004</v>
      </c>
      <c r="N158" s="19">
        <f ca="1">L158*Zalozenia!$C606+Zalozenia!$D606*Obliczenia!M158</f>
        <v>195226.83231389197</v>
      </c>
      <c r="O158" s="19">
        <f ca="1">O157*(1+Zalozenia!$K16)</f>
        <v>9.2739306105734336</v>
      </c>
      <c r="P158" s="19">
        <f ca="1">Zalozenia!$M394*Obliczenia!O158</f>
        <v>1329419.8078118239</v>
      </c>
      <c r="Q158" s="20">
        <f t="shared" si="88"/>
        <v>-1134192.9754979319</v>
      </c>
      <c r="S158" s="12"/>
      <c r="T158" s="13">
        <f t="shared" si="83"/>
        <v>2021</v>
      </c>
      <c r="U158" s="73">
        <f ca="1">Zalozenia!$N394*Zalozenia!$E464*Zalozenia!$C$496/Zalozenia!$F$507</f>
        <v>72693.699492960004</v>
      </c>
      <c r="V158" s="19">
        <f ca="1">Zalozenia!$N394*Zalozenia!$E464*Zalozenia!$D$496/Zalozenia!$G$507</f>
        <v>2104.2913011120004</v>
      </c>
      <c r="W158" s="19">
        <f ca="1">U158*Zalozenia!$C606+Zalozenia!$D606*Obliczenia!V158</f>
        <v>118328.9081193546</v>
      </c>
      <c r="X158" s="19">
        <f ca="1">X157*(1+Zalozenia!$K16)</f>
        <v>7.7598194904798126</v>
      </c>
      <c r="Y158" s="19">
        <f ca="1">Zalozenia!$N394*Obliczenia!X158</f>
        <v>704865.77967780468</v>
      </c>
      <c r="Z158" s="20">
        <f t="shared" si="89"/>
        <v>-586536.87155845005</v>
      </c>
      <c r="AB158" s="12"/>
      <c r="AC158" s="13">
        <f t="shared" si="84"/>
        <v>2021</v>
      </c>
      <c r="AD158" s="73">
        <f ca="1">Zalozenia!$O394*Zalozenia!$F464*Zalozenia!$C$496/Zalozenia!$F$507</f>
        <v>70572.401734876374</v>
      </c>
      <c r="AE158" s="19">
        <f ca="1">Zalozenia!$O394*Zalozenia!$F464*Zalozenia!$D$496/Zalozenia!$G$507</f>
        <v>2042.8853133780001</v>
      </c>
      <c r="AF158" s="19">
        <f ca="1">AD158*Zalozenia!$C606+Zalozenia!$D606*Obliczenia!AE158</f>
        <v>114875.91495404759</v>
      </c>
      <c r="AG158" s="19">
        <f ca="1">AG157*(1+Zalozenia!$K16)</f>
        <v>7.7598194904798126</v>
      </c>
      <c r="AH158" s="19">
        <f ca="1">Zalozenia!$O394*Obliczenia!AG158</f>
        <v>734367.37180949037</v>
      </c>
      <c r="AI158" s="20">
        <f t="shared" si="90"/>
        <v>-619491.45685544284</v>
      </c>
      <c r="AK158" s="12"/>
      <c r="AL158" s="13">
        <f t="shared" si="85"/>
        <v>2021</v>
      </c>
      <c r="AM158" s="73">
        <f ca="1">Zalozenia!$P394*Zalozenia!$G464*Zalozenia!$C$496/Zalozenia!$F$507</f>
        <v>93524.607614454566</v>
      </c>
      <c r="AN158" s="19">
        <f ca="1">Zalozenia!$P394*Zalozenia!$G464*Zalozenia!$D$496/Zalozenia!$G$507</f>
        <v>2707.2912730500002</v>
      </c>
      <c r="AO158" s="19">
        <f ca="1">AM158*Zalozenia!$C606+Zalozenia!$D606*Obliczenia!AN158</f>
        <v>152236.91707121374</v>
      </c>
      <c r="AP158" s="19">
        <f ca="1">AP157*(1+Zalozenia!$K16)</f>
        <v>10.030986170620242</v>
      </c>
      <c r="AQ158" s="19">
        <f ca="1">Zalozenia!$P394*Obliczenia!AP158</f>
        <v>912918.04519091407</v>
      </c>
      <c r="AR158" s="20">
        <f t="shared" si="91"/>
        <v>-760681.12811970036</v>
      </c>
      <c r="AT158" s="12"/>
      <c r="AU158" s="13">
        <f t="shared" si="86"/>
        <v>2021</v>
      </c>
      <c r="AV158" s="73">
        <f ca="1">Zalozenia!$Q394*Zalozenia!$H464*Zalozenia!$C$496/Zalozenia!$F$507</f>
        <v>0</v>
      </c>
      <c r="AW158" s="19">
        <f ca="1">Zalozenia!$Q394*Zalozenia!$H464*Zalozenia!$D$496/Zalozenia!$G$507</f>
        <v>0</v>
      </c>
      <c r="AX158" s="19">
        <f ca="1">AV158*Zalozenia!$C606+Zalozenia!$D606*Obliczenia!AW158</f>
        <v>0</v>
      </c>
      <c r="AY158" s="19">
        <f ca="1">AY157*(1+Zalozenia!$K16)</f>
        <v>4.1638055802574598</v>
      </c>
      <c r="AZ158" s="19">
        <f ca="1">Zalozenia!$Q394*Obliczenia!AY158</f>
        <v>0</v>
      </c>
      <c r="BA158" s="20">
        <f t="shared" si="92"/>
        <v>0</v>
      </c>
      <c r="BC158" s="23">
        <f t="shared" si="93"/>
        <v>-346227.05552243453</v>
      </c>
      <c r="BD158" s="23">
        <f t="shared" si="94"/>
        <v>-1134192.9754979319</v>
      </c>
      <c r="BE158" s="23">
        <f t="shared" si="95"/>
        <v>-586536.87155845005</v>
      </c>
      <c r="BF158" s="23">
        <f t="shared" si="96"/>
        <v>-619491.45685544284</v>
      </c>
      <c r="BG158" s="23">
        <f t="shared" si="97"/>
        <v>-760681.12811970036</v>
      </c>
      <c r="BH158" s="23">
        <f t="shared" si="98"/>
        <v>0</v>
      </c>
    </row>
    <row r="159" spans="1:60" s="4" customFormat="1">
      <c r="A159" s="12"/>
      <c r="B159" s="13">
        <f t="shared" si="81"/>
        <v>2022</v>
      </c>
      <c r="C159" s="73">
        <f ca="1">Zalozenia!$L395*Zalozenia!$C465*Zalozenia!$C$496/Zalozenia!$F$507</f>
        <v>40916.953668665468</v>
      </c>
      <c r="D159" s="19">
        <f ca="1">Zalozenia!$L395*Zalozenia!$C465*Zalozenia!$D$496/Zalozenia!$G$507</f>
        <v>1184.438132514</v>
      </c>
      <c r="E159" s="19">
        <f ca="1">C159*Zalozenia!$C607+Zalozenia!$D607*Obliczenia!D159</f>
        <v>68268.638782699461</v>
      </c>
      <c r="F159" s="19">
        <f ca="1">F158*(1+Zalozenia!$K17)</f>
        <v>10.442256603615672</v>
      </c>
      <c r="G159" s="19">
        <f ca="1">Zalozenia!$L395*Obliczenia!F159</f>
        <v>435025.39167874964</v>
      </c>
      <c r="H159" s="20">
        <f t="shared" si="87"/>
        <v>-366756.75289605017</v>
      </c>
      <c r="I159"/>
      <c r="J159" s="12"/>
      <c r="K159" s="13">
        <f t="shared" si="82"/>
        <v>2022</v>
      </c>
      <c r="L159" s="73">
        <f ca="1">Zalozenia!$M395*Zalozenia!$D465*Zalozenia!$C$496/Zalozenia!$F$507</f>
        <v>121705.01275990911</v>
      </c>
      <c r="M159" s="19">
        <f ca="1">Zalozenia!$M395*Zalozenia!$D465*Zalozenia!$D$496/Zalozenia!$G$507</f>
        <v>3523.0398430500004</v>
      </c>
      <c r="N159" s="19">
        <f ca="1">L159*Zalozenia!$C607+Zalozenia!$D607*Obliczenia!M159</f>
        <v>203060.95173729621</v>
      </c>
      <c r="O159" s="19">
        <f ca="1">O158*(1+Zalozenia!$K17)</f>
        <v>9.6541617656069434</v>
      </c>
      <c r="P159" s="19">
        <f ca="1">Zalozenia!$M395*Obliczenia!O159</f>
        <v>1404351.8126876915</v>
      </c>
      <c r="Q159" s="20">
        <f t="shared" si="88"/>
        <v>-1201290.8609503952</v>
      </c>
      <c r="S159" s="12"/>
      <c r="T159" s="13">
        <f t="shared" si="83"/>
        <v>2022</v>
      </c>
      <c r="U159" s="73">
        <f ca="1">Zalozenia!$N395*Zalozenia!$E465*Zalozenia!$C$496/Zalozenia!$F$507</f>
        <v>73507.473814320008</v>
      </c>
      <c r="V159" s="19">
        <f ca="1">Zalozenia!$N395*Zalozenia!$E465*Zalozenia!$D$496/Zalozenia!$G$507</f>
        <v>2127.847926204</v>
      </c>
      <c r="W159" s="19">
        <f ca="1">U159*Zalozenia!$C607+Zalozenia!$D607*Obliczenia!V159</f>
        <v>122644.88745411104</v>
      </c>
      <c r="X159" s="19">
        <f ca="1">X158*(1+Zalozenia!$K17)</f>
        <v>8.0779720895894851</v>
      </c>
      <c r="Y159" s="19">
        <f ca="1">Zalozenia!$N395*Obliczenia!X159</f>
        <v>741979.45949955878</v>
      </c>
      <c r="Z159" s="20">
        <f t="shared" si="89"/>
        <v>-619334.57204544777</v>
      </c>
      <c r="AB159" s="12"/>
      <c r="AC159" s="13">
        <f t="shared" si="84"/>
        <v>2022</v>
      </c>
      <c r="AD159" s="73">
        <f ca="1">Zalozenia!$O395*Zalozenia!$F465*Zalozenia!$C$496/Zalozenia!$F$507</f>
        <v>71636.531722789106</v>
      </c>
      <c r="AE159" s="19">
        <f ca="1">Zalozenia!$O395*Zalozenia!$F465*Zalozenia!$D$496/Zalozenia!$G$507</f>
        <v>2073.6890761860004</v>
      </c>
      <c r="AF159" s="19">
        <f ca="1">AD159*Zalozenia!$C607+Zalozenia!$D607*Obliczenia!AE159</f>
        <v>119523.27994480406</v>
      </c>
      <c r="AG159" s="19">
        <f ca="1">AG158*(1+Zalozenia!$K17)</f>
        <v>8.0779720895894851</v>
      </c>
      <c r="AH159" s="19">
        <f ca="1">Zalozenia!$O395*Obliczenia!AG159</f>
        <v>776003.63560174697</v>
      </c>
      <c r="AI159" s="20">
        <f t="shared" si="90"/>
        <v>-656480.35565694293</v>
      </c>
      <c r="AK159" s="12"/>
      <c r="AL159" s="13">
        <f t="shared" si="85"/>
        <v>2022</v>
      </c>
      <c r="AM159" s="73">
        <f ca="1">Zalozenia!$P395*Zalozenia!$G465*Zalozenia!$C$496/Zalozenia!$F$507</f>
        <v>94568.229845345471</v>
      </c>
      <c r="AN159" s="19">
        <f ca="1">Zalozenia!$P395*Zalozenia!$G465*Zalozenia!$D$496/Zalozenia!$G$507</f>
        <v>2737.5013902599999</v>
      </c>
      <c r="AO159" s="19">
        <f ca="1">AM159*Zalozenia!$C607+Zalozenia!$D607*Obliczenia!AN159</f>
        <v>157784.09057307895</v>
      </c>
      <c r="AP159" s="19">
        <f ca="1">AP158*(1+Zalozenia!$K17)</f>
        <v>10.442256603615672</v>
      </c>
      <c r="AQ159" s="19">
        <f ca="1">Zalozenia!$P395*Obliczenia!AP159</f>
        <v>960952.42316010944</v>
      </c>
      <c r="AR159" s="20">
        <f t="shared" si="91"/>
        <v>-803168.33258703048</v>
      </c>
      <c r="AT159" s="12"/>
      <c r="AU159" s="13">
        <f t="shared" si="86"/>
        <v>2022</v>
      </c>
      <c r="AV159" s="73">
        <f ca="1">Zalozenia!$Q395*Zalozenia!$H465*Zalozenia!$C$496/Zalozenia!$F$507</f>
        <v>0</v>
      </c>
      <c r="AW159" s="19">
        <f ca="1">Zalozenia!$Q395*Zalozenia!$H465*Zalozenia!$D$496/Zalozenia!$G$507</f>
        <v>0</v>
      </c>
      <c r="AX159" s="19">
        <f ca="1">AV159*Zalozenia!$C607+Zalozenia!$D607*Obliczenia!AW159</f>
        <v>0</v>
      </c>
      <c r="AY159" s="19">
        <f ca="1">AY158*(1+Zalozenia!$K17)</f>
        <v>4.3345216090480152</v>
      </c>
      <c r="AZ159" s="19">
        <f ca="1">Zalozenia!$Q395*Obliczenia!AY159</f>
        <v>0</v>
      </c>
      <c r="BA159" s="20">
        <f t="shared" si="92"/>
        <v>0</v>
      </c>
      <c r="BC159" s="23">
        <f t="shared" si="93"/>
        <v>-366756.75289605017</v>
      </c>
      <c r="BD159" s="23">
        <f t="shared" si="94"/>
        <v>-1201290.8609503952</v>
      </c>
      <c r="BE159" s="23">
        <f t="shared" si="95"/>
        <v>-619334.57204544777</v>
      </c>
      <c r="BF159" s="23">
        <f t="shared" si="96"/>
        <v>-656480.35565694293</v>
      </c>
      <c r="BG159" s="23">
        <f t="shared" si="97"/>
        <v>-803168.33258703048</v>
      </c>
      <c r="BH159" s="23">
        <f t="shared" si="98"/>
        <v>0</v>
      </c>
    </row>
    <row r="160" spans="1:60" s="4" customFormat="1">
      <c r="A160" s="12"/>
      <c r="B160" s="13">
        <f t="shared" si="81"/>
        <v>2023</v>
      </c>
      <c r="C160" s="73">
        <f ca="1">Zalozenia!$L396*Zalozenia!$C466*Zalozenia!$C$496/Zalozenia!$F$507</f>
        <v>41506.468799498187</v>
      </c>
      <c r="D160" s="19">
        <f ca="1">Zalozenia!$L396*Zalozenia!$C466*Zalozenia!$D$496/Zalozenia!$G$507</f>
        <v>1201.503044196</v>
      </c>
      <c r="E160" s="19">
        <f ca="1">C160*Zalozenia!$C608+Zalozenia!$D608*Obliczenia!D160</f>
        <v>70983.531723257809</v>
      </c>
      <c r="F160" s="19">
        <f ca="1">F159*(1+Zalozenia!$K18)</f>
        <v>10.870389124363914</v>
      </c>
      <c r="G160" s="19">
        <f ca="1">Zalozenia!$L396*Obliczenia!F160</f>
        <v>459386.0794385823</v>
      </c>
      <c r="H160" s="20">
        <f t="shared" si="87"/>
        <v>-388402.5477153245</v>
      </c>
      <c r="I160"/>
      <c r="J160" s="12"/>
      <c r="K160" s="13">
        <f t="shared" si="82"/>
        <v>2023</v>
      </c>
      <c r="L160" s="73">
        <f ca="1">Zalozenia!$M396*Zalozenia!$D466*Zalozenia!$C$496/Zalozenia!$F$507</f>
        <v>123475.16846127274</v>
      </c>
      <c r="M160" s="19">
        <f ca="1">Zalozenia!$M396*Zalozenia!$D466*Zalozenia!$D$496/Zalozenia!$G$507</f>
        <v>3574.2811923000004</v>
      </c>
      <c r="N160" s="19">
        <f ca="1">L160*Zalozenia!$C608+Zalozenia!$D608*Obliczenia!M160</f>
        <v>211164.76036167453</v>
      </c>
      <c r="O160" s="19">
        <f ca="1">O159*(1+Zalozenia!$K18)</f>
        <v>10.049982397996827</v>
      </c>
      <c r="P160" s="19">
        <f ca="1">Zalozenia!$M396*Obliczenia!O160</f>
        <v>1483193.4872664483</v>
      </c>
      <c r="Q160" s="20">
        <f t="shared" si="88"/>
        <v>-1272028.7269047739</v>
      </c>
      <c r="S160" s="12"/>
      <c r="T160" s="13">
        <f t="shared" si="83"/>
        <v>2023</v>
      </c>
      <c r="U160" s="73">
        <f ca="1">Zalozenia!$N396*Zalozenia!$E466*Zalozenia!$C$496/Zalozenia!$F$507</f>
        <v>74321.248135679998</v>
      </c>
      <c r="V160" s="19">
        <f ca="1">Zalozenia!$N396*Zalozenia!$E466*Zalozenia!$D$496/Zalozenia!$G$507</f>
        <v>2151.4045512959997</v>
      </c>
      <c r="W160" s="19">
        <f ca="1">U160*Zalozenia!$C608+Zalozenia!$D608*Obliczenia!V160</f>
        <v>127102.71018803069</v>
      </c>
      <c r="X160" s="19">
        <f ca="1">X159*(1+Zalozenia!$K18)</f>
        <v>8.4091689452626532</v>
      </c>
      <c r="Y160" s="19">
        <f ca="1">Zalozenia!$N396*Obliczenia!X160</f>
        <v>780951.58169105824</v>
      </c>
      <c r="Z160" s="20">
        <f t="shared" si="89"/>
        <v>-653848.87150302751</v>
      </c>
      <c r="AB160" s="12"/>
      <c r="AC160" s="13">
        <f t="shared" si="84"/>
        <v>2023</v>
      </c>
      <c r="AD160" s="73">
        <f ca="1">Zalozenia!$O396*Zalozenia!$F466*Zalozenia!$C$496/Zalozenia!$F$507</f>
        <v>72700.661710701839</v>
      </c>
      <c r="AE160" s="19">
        <f ca="1">Zalozenia!$O396*Zalozenia!$F466*Zalozenia!$D$496/Zalozenia!$G$507</f>
        <v>2104.4928389940001</v>
      </c>
      <c r="AF160" s="19">
        <f ca="1">AD160*Zalozenia!$C608+Zalozenia!$D608*Obliczenia!AE160</f>
        <v>124331.2157382521</v>
      </c>
      <c r="AG160" s="19">
        <f ca="1">AG159*(1+Zalozenia!$K18)</f>
        <v>8.4091689452626532</v>
      </c>
      <c r="AH160" s="19">
        <f ca="1">Zalozenia!$O396*Obliczenia!AG160</f>
        <v>819819.60147295683</v>
      </c>
      <c r="AI160" s="20">
        <f t="shared" si="90"/>
        <v>-695488.38573470479</v>
      </c>
      <c r="AK160" s="12"/>
      <c r="AL160" s="13">
        <f t="shared" si="85"/>
        <v>2023</v>
      </c>
      <c r="AM160" s="73">
        <f ca="1">Zalozenia!$P396*Zalozenia!$G466*Zalozenia!$C$496/Zalozenia!$F$507</f>
        <v>95611.852076236377</v>
      </c>
      <c r="AN160" s="19">
        <f ca="1">Zalozenia!$P396*Zalozenia!$G466*Zalozenia!$D$496/Zalozenia!$G$507</f>
        <v>2767.71150747</v>
      </c>
      <c r="AO160" s="19">
        <f ca="1">AM160*Zalozenia!$C608+Zalozenia!$D608*Obliczenia!AN160</f>
        <v>163513.47467686798</v>
      </c>
      <c r="AP160" s="19">
        <f ca="1">AP159*(1+Zalozenia!$K18)</f>
        <v>10.870389124363914</v>
      </c>
      <c r="AQ160" s="19">
        <f ca="1">Zalozenia!$P396*Obliczenia!AP160</f>
        <v>1011391.004888813</v>
      </c>
      <c r="AR160" s="20">
        <f t="shared" si="91"/>
        <v>-847877.53021194506</v>
      </c>
      <c r="AT160" s="12"/>
      <c r="AU160" s="13">
        <f t="shared" si="86"/>
        <v>2023</v>
      </c>
      <c r="AV160" s="73">
        <f ca="1">Zalozenia!$Q396*Zalozenia!$H466*Zalozenia!$C$496/Zalozenia!$F$507</f>
        <v>0</v>
      </c>
      <c r="AW160" s="19">
        <f ca="1">Zalozenia!$Q396*Zalozenia!$H466*Zalozenia!$D$496/Zalozenia!$G$507</f>
        <v>0</v>
      </c>
      <c r="AX160" s="19">
        <f ca="1">AV160*Zalozenia!$C608+Zalozenia!$D608*Obliczenia!AW160</f>
        <v>0</v>
      </c>
      <c r="AY160" s="19">
        <f ca="1">AY159*(1+Zalozenia!$K18)</f>
        <v>4.5122369950189833</v>
      </c>
      <c r="AZ160" s="19">
        <f ca="1">Zalozenia!$Q396*Obliczenia!AY160</f>
        <v>0</v>
      </c>
      <c r="BA160" s="20">
        <f t="shared" si="92"/>
        <v>0</v>
      </c>
      <c r="BC160" s="23">
        <f t="shared" si="93"/>
        <v>-388402.5477153245</v>
      </c>
      <c r="BD160" s="23">
        <f t="shared" si="94"/>
        <v>-1272028.7269047739</v>
      </c>
      <c r="BE160" s="23">
        <f t="shared" si="95"/>
        <v>-653848.87150302751</v>
      </c>
      <c r="BF160" s="23">
        <f t="shared" si="96"/>
        <v>-695488.38573470479</v>
      </c>
      <c r="BG160" s="23">
        <f t="shared" si="97"/>
        <v>-847877.53021194506</v>
      </c>
      <c r="BH160" s="23">
        <f t="shared" si="98"/>
        <v>0</v>
      </c>
    </row>
    <row r="161" spans="1:60" s="4" customFormat="1" ht="10.5" customHeight="1">
      <c r="A161" s="12"/>
      <c r="B161" s="13">
        <f t="shared" si="81"/>
        <v>2024</v>
      </c>
      <c r="C161" s="73">
        <f ca="1">Zalozenia!$L397*Zalozenia!$C467*Zalozenia!$C$496/Zalozenia!$F$507</f>
        <v>42095.983930330913</v>
      </c>
      <c r="D161" s="19">
        <f ca="1">Zalozenia!$L397*Zalozenia!$C467*Zalozenia!$D$496/Zalozenia!$G$507</f>
        <v>1218.567955878</v>
      </c>
      <c r="E161" s="19">
        <f ca="1">C161*Zalozenia!$C609+Zalozenia!$D609*Obliczenia!D161</f>
        <v>73791.501411604899</v>
      </c>
      <c r="F161" s="19">
        <f ca="1">F160*(1+Zalozenia!$K19)</f>
        <v>11.316075078462834</v>
      </c>
      <c r="G161" s="19">
        <f ca="1">Zalozenia!$L397*Obliczenia!F161</f>
        <v>485013.06591130927</v>
      </c>
      <c r="H161" s="20">
        <f t="shared" si="87"/>
        <v>-411221.5644997044</v>
      </c>
      <c r="I161"/>
      <c r="J161" s="12"/>
      <c r="K161" s="13">
        <f t="shared" si="82"/>
        <v>2024</v>
      </c>
      <c r="L161" s="73">
        <f ca="1">Zalozenia!$M397*Zalozenia!$D467*Zalozenia!$C$496/Zalozenia!$F$507</f>
        <v>125245.32416263639</v>
      </c>
      <c r="M161" s="19">
        <f ca="1">Zalozenia!$M397*Zalozenia!$D467*Zalozenia!$D$496/Zalozenia!$G$507</f>
        <v>3625.5225415500004</v>
      </c>
      <c r="N161" s="19">
        <f ca="1">L161*Zalozenia!$C609+Zalozenia!$D609*Obliczenia!M161</f>
        <v>219546.84632243597</v>
      </c>
      <c r="O161" s="19">
        <f ca="1">O160*(1+Zalozenia!$K19)</f>
        <v>10.462031676314696</v>
      </c>
      <c r="P161" s="19">
        <f ca="1">Zalozenia!$M397*Obliczenia!O161</f>
        <v>1566139.4637635355</v>
      </c>
      <c r="Q161" s="20">
        <f t="shared" si="88"/>
        <v>-1346592.6174410996</v>
      </c>
      <c r="S161" s="12"/>
      <c r="T161" s="13">
        <f t="shared" si="83"/>
        <v>2024</v>
      </c>
      <c r="U161" s="73">
        <f ca="1">Zalozenia!$N397*Zalozenia!$E467*Zalozenia!$C$496/Zalozenia!$F$507</f>
        <v>75135.022457040002</v>
      </c>
      <c r="V161" s="19">
        <f ca="1">Zalozenia!$N397*Zalozenia!$E467*Zalozenia!$D$496/Zalozenia!$G$507</f>
        <v>2174.9611763880002</v>
      </c>
      <c r="W161" s="19">
        <f ca="1">U161*Zalozenia!$C609+Zalozenia!$D609*Obliczenia!V161</f>
        <v>131706.77100398752</v>
      </c>
      <c r="X161" s="19">
        <f ca="1">X160*(1+Zalozenia!$K19)</f>
        <v>8.7539448720184208</v>
      </c>
      <c r="Y161" s="19">
        <f ca="1">Zalozenia!$N397*Obliczenia!X161</f>
        <v>821872.15043084195</v>
      </c>
      <c r="Z161" s="20">
        <f t="shared" si="89"/>
        <v>-690165.37942685443</v>
      </c>
      <c r="AB161" s="12"/>
      <c r="AC161" s="13">
        <f t="shared" si="84"/>
        <v>2024</v>
      </c>
      <c r="AD161" s="73">
        <f ca="1">Zalozenia!$O397*Zalozenia!$F467*Zalozenia!$C$496/Zalozenia!$F$507</f>
        <v>73764.791698614557</v>
      </c>
      <c r="AE161" s="19">
        <f ca="1">Zalozenia!$O397*Zalozenia!$F467*Zalozenia!$D$496/Zalozenia!$G$507</f>
        <v>2135.2966018020002</v>
      </c>
      <c r="AF161" s="19">
        <f ca="1">AD161*Zalozenia!$C609+Zalozenia!$D609*Obliczenia!AE161</f>
        <v>129304.84627140696</v>
      </c>
      <c r="AG161" s="19">
        <f ca="1">AG160*(1+Zalozenia!$K19)</f>
        <v>8.7539448720184208</v>
      </c>
      <c r="AH161" s="19">
        <f ca="1">Zalozenia!$O397*Obliczenia!AG161</f>
        <v>865924.01443415927</v>
      </c>
      <c r="AI161" s="20">
        <f t="shared" si="90"/>
        <v>-736619.16816275229</v>
      </c>
      <c r="AK161" s="12"/>
      <c r="AL161" s="13">
        <f t="shared" si="85"/>
        <v>2024</v>
      </c>
      <c r="AM161" s="73">
        <f ca="1">Zalozenia!$P397*Zalozenia!$G467*Zalozenia!$C$496/Zalozenia!$F$507</f>
        <v>96655.474307127282</v>
      </c>
      <c r="AN161" s="19">
        <f ca="1">Zalozenia!$P397*Zalozenia!$G467*Zalozenia!$D$496/Zalozenia!$G$507</f>
        <v>2797.9216246800001</v>
      </c>
      <c r="AO161" s="19">
        <f ca="1">AM161*Zalozenia!$C609+Zalozenia!$D609*Obliczenia!AN161</f>
        <v>169430.71292923825</v>
      </c>
      <c r="AP161" s="19">
        <f ca="1">AP160*(1+Zalozenia!$K19)</f>
        <v>11.316075078462834</v>
      </c>
      <c r="AQ161" s="19">
        <f ca="1">Zalozenia!$P397*Obliczenia!AP161</f>
        <v>1064350.189295938</v>
      </c>
      <c r="AR161" s="20">
        <f t="shared" si="91"/>
        <v>-894919.47636669979</v>
      </c>
      <c r="AT161" s="12"/>
      <c r="AU161" s="13">
        <f t="shared" si="86"/>
        <v>2024</v>
      </c>
      <c r="AV161" s="73">
        <f ca="1">Zalozenia!$Q397*Zalozenia!$H467*Zalozenia!$C$496/Zalozenia!$F$507</f>
        <v>0</v>
      </c>
      <c r="AW161" s="19">
        <f ca="1">Zalozenia!$Q397*Zalozenia!$H467*Zalozenia!$D$496/Zalozenia!$G$507</f>
        <v>0</v>
      </c>
      <c r="AX161" s="19">
        <f ca="1">AV161*Zalozenia!$C609+Zalozenia!$D609*Obliczenia!AW161</f>
        <v>0</v>
      </c>
      <c r="AY161" s="19">
        <f ca="1">AY160*(1+Zalozenia!$K19)</f>
        <v>4.6972387118147614</v>
      </c>
      <c r="AZ161" s="19">
        <f ca="1">Zalozenia!$Q397*Obliczenia!AY161</f>
        <v>0</v>
      </c>
      <c r="BA161" s="20">
        <f t="shared" si="92"/>
        <v>0</v>
      </c>
      <c r="BC161" s="23">
        <f t="shared" si="93"/>
        <v>-411221.5644997044</v>
      </c>
      <c r="BD161" s="23">
        <f t="shared" si="94"/>
        <v>-1346592.6174410996</v>
      </c>
      <c r="BE161" s="23">
        <f t="shared" si="95"/>
        <v>-690165.37942685443</v>
      </c>
      <c r="BF161" s="23">
        <f t="shared" si="96"/>
        <v>-736619.16816275229</v>
      </c>
      <c r="BG161" s="23">
        <f t="shared" si="97"/>
        <v>-894919.47636669979</v>
      </c>
      <c r="BH161" s="23">
        <f t="shared" si="98"/>
        <v>0</v>
      </c>
    </row>
    <row r="162" spans="1:60" s="4" customFormat="1">
      <c r="A162" s="12"/>
      <c r="B162" s="13">
        <f t="shared" si="81"/>
        <v>2025</v>
      </c>
      <c r="C162" s="73">
        <f ca="1">Zalozenia!$L398*Zalozenia!$C468*Zalozenia!$C$496/Zalozenia!$F$507</f>
        <v>48783.427498472724</v>
      </c>
      <c r="D162" s="19">
        <f ca="1">Zalozenia!$L398*Zalozenia!$C468*Zalozenia!$D$496/Zalozenia!$G$507</f>
        <v>1412.1518486399998</v>
      </c>
      <c r="E162" s="19">
        <f ca="1">C162*Zalozenia!$C610+Zalozenia!$D610*Obliczenia!D162</f>
        <v>87652.00557376261</v>
      </c>
      <c r="F162" s="19">
        <f ca="1">F161*(1+Zalozenia!$K20)</f>
        <v>11.780034156679809</v>
      </c>
      <c r="G162" s="19">
        <f ca="1">Zalozenia!$L398*Obliczenia!F162</f>
        <v>585107.6997431583</v>
      </c>
      <c r="H162" s="20">
        <f t="shared" si="87"/>
        <v>-497455.69416939572</v>
      </c>
      <c r="I162"/>
      <c r="J162" s="12"/>
      <c r="K162" s="13">
        <f t="shared" si="82"/>
        <v>2025</v>
      </c>
      <c r="L162" s="73">
        <f ca="1">Zalozenia!$M398*Zalozenia!$D468*Zalozenia!$C$496/Zalozenia!$F$507</f>
        <v>145160.54841600001</v>
      </c>
      <c r="M162" s="19">
        <f ca="1">Zalozenia!$M398*Zalozenia!$D468*Zalozenia!$D$496/Zalozenia!$G$507</f>
        <v>4202.0158751999998</v>
      </c>
      <c r="N162" s="19">
        <f ca="1">L162*Zalozenia!$C610+Zalozenia!$D610*Obliczenia!M162</f>
        <v>260818.35269258215</v>
      </c>
      <c r="O162" s="19">
        <f ca="1">O161*(1+Zalozenia!$K20)</f>
        <v>10.890974975043598</v>
      </c>
      <c r="P162" s="19">
        <f ca="1">Zalozenia!$M398*Obliczenia!O162</f>
        <v>1889592.8709500441</v>
      </c>
      <c r="Q162" s="20">
        <f t="shared" si="88"/>
        <v>-1628774.518257462</v>
      </c>
      <c r="S162" s="12"/>
      <c r="T162" s="13">
        <f t="shared" si="83"/>
        <v>2025</v>
      </c>
      <c r="U162" s="73">
        <f ca="1">Zalozenia!$N398*Zalozenia!$E468*Zalozenia!$C$496/Zalozenia!$F$507</f>
        <v>86798.624889600003</v>
      </c>
      <c r="V162" s="19">
        <f ca="1">Zalozenia!$N398*Zalozenia!$E468*Zalozenia!$D$496/Zalozenia!$G$507</f>
        <v>2512.5917731199997</v>
      </c>
      <c r="W162" s="19">
        <f ca="1">U162*Zalozenia!$C610+Zalozenia!$D610*Obliczenia!V162</f>
        <v>155956.10933357108</v>
      </c>
      <c r="X162" s="19">
        <f ca="1">X161*(1+Zalozenia!$K20)</f>
        <v>9.1128566117711749</v>
      </c>
      <c r="Y162" s="19">
        <f ca="1">Zalozenia!$N398*Obliczenia!X162</f>
        <v>988383.34422681737</v>
      </c>
      <c r="Z162" s="20">
        <f t="shared" si="89"/>
        <v>-832427.23489324632</v>
      </c>
      <c r="AB162" s="12"/>
      <c r="AC162" s="13">
        <f t="shared" si="84"/>
        <v>2025</v>
      </c>
      <c r="AD162" s="73">
        <f ca="1">Zalozenia!$O398*Zalozenia!$F468*Zalozenia!$C$496/Zalozenia!$F$507</f>
        <v>85518.767641745464</v>
      </c>
      <c r="AE162" s="19">
        <f ca="1">Zalozenia!$O398*Zalozenia!$F468*Zalozenia!$D$496/Zalozenia!$G$507</f>
        <v>2475.54327384</v>
      </c>
      <c r="AF162" s="19">
        <f ca="1">AD162*Zalozenia!$C610+Zalozenia!$D610*Obliczenia!AE162</f>
        <v>153656.51579586649</v>
      </c>
      <c r="AG162" s="19">
        <f ca="1">AG161*(1+Zalozenia!$K20)</f>
        <v>9.1128566117711749</v>
      </c>
      <c r="AH162" s="19">
        <f ca="1">Zalozenia!$O398*Obliczenia!AG162</f>
        <v>1045063.8542949761</v>
      </c>
      <c r="AI162" s="20">
        <f t="shared" si="90"/>
        <v>-891407.33849910961</v>
      </c>
      <c r="AK162" s="12"/>
      <c r="AL162" s="13">
        <f t="shared" si="85"/>
        <v>2025</v>
      </c>
      <c r="AM162" s="73">
        <f ca="1">Zalozenia!$P398*Zalozenia!$G468*Zalozenia!$C$496/Zalozenia!$F$507</f>
        <v>111656.11032916365</v>
      </c>
      <c r="AN162" s="19">
        <f ca="1">Zalozenia!$P398*Zalozenia!$G468*Zalozenia!$D$496/Zalozenia!$G$507</f>
        <v>3232.1505621600004</v>
      </c>
      <c r="AO162" s="19">
        <f ca="1">AM162*Zalozenia!$C610+Zalozenia!$D610*Obliczenia!AN162</f>
        <v>200618.9910543474</v>
      </c>
      <c r="AP162" s="19">
        <f ca="1">AP161*(1+Zalozenia!$K20)</f>
        <v>11.780034156679809</v>
      </c>
      <c r="AQ162" s="19">
        <f ca="1">Zalozenia!$P398*Obliczenia!AP162</f>
        <v>1279945.0040516902</v>
      </c>
      <c r="AR162" s="20">
        <f t="shared" si="91"/>
        <v>-1079326.0129973427</v>
      </c>
      <c r="AT162" s="12"/>
      <c r="AU162" s="13">
        <f t="shared" si="86"/>
        <v>2025</v>
      </c>
      <c r="AV162" s="73">
        <f ca="1">Zalozenia!$Q398*Zalozenia!$H468*Zalozenia!$C$496/Zalozenia!$F$507</f>
        <v>0</v>
      </c>
      <c r="AW162" s="19">
        <f ca="1">Zalozenia!$Q398*Zalozenia!$H468*Zalozenia!$D$496/Zalozenia!$G$507</f>
        <v>0</v>
      </c>
      <c r="AX162" s="19">
        <f ca="1">AV162*Zalozenia!$C610+Zalozenia!$D610*Obliczenia!AW162</f>
        <v>0</v>
      </c>
      <c r="AY162" s="19">
        <f ca="1">AY161*(1+Zalozenia!$K20)</f>
        <v>4.8898254989991665</v>
      </c>
      <c r="AZ162" s="19">
        <f ca="1">Zalozenia!$Q398*Obliczenia!AY162</f>
        <v>0</v>
      </c>
      <c r="BA162" s="20">
        <f t="shared" si="92"/>
        <v>0</v>
      </c>
      <c r="BC162" s="23">
        <f t="shared" si="93"/>
        <v>-497455.69416939572</v>
      </c>
      <c r="BD162" s="23">
        <f t="shared" si="94"/>
        <v>-1628774.518257462</v>
      </c>
      <c r="BE162" s="23">
        <f t="shared" si="95"/>
        <v>-832427.23489324632</v>
      </c>
      <c r="BF162" s="23">
        <f t="shared" si="96"/>
        <v>-891407.33849910961</v>
      </c>
      <c r="BG162" s="23">
        <f t="shared" si="97"/>
        <v>-1079326.0129973427</v>
      </c>
      <c r="BH162" s="23">
        <f t="shared" si="98"/>
        <v>0</v>
      </c>
    </row>
    <row r="163" spans="1:60" s="4" customFormat="1">
      <c r="A163" s="12"/>
      <c r="B163" s="13">
        <f t="shared" si="81"/>
        <v>2026</v>
      </c>
      <c r="C163" s="73">
        <f ca="1">Zalozenia!$L399*Zalozenia!$C469*Zalozenia!$C$496/Zalozenia!$F$507</f>
        <v>49140.997258647272</v>
      </c>
      <c r="D163" s="19">
        <f ca="1">Zalozenia!$L399*Zalozenia!$C469*Zalozenia!$D$496/Zalozenia!$G$507</f>
        <v>1422.5025522240001</v>
      </c>
      <c r="E163" s="19">
        <f ca="1">C163*Zalozenia!$C611+Zalozenia!$D611*Obliczenia!D163</f>
        <v>90501.833637946096</v>
      </c>
      <c r="F163" s="19">
        <f ca="1">F162*(1+Zalozenia!$K21)</f>
        <v>12.26301555710368</v>
      </c>
      <c r="G163" s="19">
        <f ca="1">Zalozenia!$L399*Obliczenia!F163</f>
        <v>613561.63792840915</v>
      </c>
      <c r="H163" s="20">
        <f t="shared" si="87"/>
        <v>-523059.80429046304</v>
      </c>
      <c r="I163"/>
      <c r="J163" s="12"/>
      <c r="K163" s="13">
        <f t="shared" si="82"/>
        <v>2026</v>
      </c>
      <c r="L163" s="73">
        <f ca="1">Zalozenia!$M399*Zalozenia!$D469*Zalozenia!$C$496/Zalozenia!$F$507</f>
        <v>146040.30931549094</v>
      </c>
      <c r="M163" s="19">
        <f ca="1">Zalozenia!$M399*Zalozenia!$D469*Zalozenia!$D$496/Zalozenia!$G$507</f>
        <v>4227.4826380799996</v>
      </c>
      <c r="N163" s="19">
        <f ca="1">L163*Zalozenia!$C611+Zalozenia!$D611*Obliczenia!M163</f>
        <v>268959.04673116887</v>
      </c>
      <c r="O163" s="19">
        <f ca="1">O162*(1+Zalozenia!$K21)</f>
        <v>11.337504949020385</v>
      </c>
      <c r="P163" s="19">
        <f ca="1">Zalozenia!$M399*Obliczenia!O163</f>
        <v>1978987.79186299</v>
      </c>
      <c r="Q163" s="20">
        <f t="shared" si="88"/>
        <v>-1710028.7451318211</v>
      </c>
      <c r="S163" s="12"/>
      <c r="T163" s="13">
        <f t="shared" si="83"/>
        <v>2026</v>
      </c>
      <c r="U163" s="73">
        <f ca="1">Zalozenia!$N399*Zalozenia!$E469*Zalozenia!$C$496/Zalozenia!$F$507</f>
        <v>87261.455623680027</v>
      </c>
      <c r="V163" s="19">
        <f ca="1">Zalozenia!$N399*Zalozenia!$E469*Zalozenia!$D$496/Zalozenia!$G$507</f>
        <v>2525.9895048960002</v>
      </c>
      <c r="W163" s="19">
        <f ca="1">U163*Zalozenia!$C611+Zalozenia!$D611*Obliczenia!V163</f>
        <v>160707.39668331874</v>
      </c>
      <c r="X163" s="19">
        <f ca="1">X162*(1+Zalozenia!$K21)</f>
        <v>9.4864837328537917</v>
      </c>
      <c r="Y163" s="19">
        <f ca="1">Zalozenia!$N399*Obliczenia!X163</f>
        <v>1034393.4363962405</v>
      </c>
      <c r="Z163" s="20">
        <f t="shared" si="89"/>
        <v>-873686.03971292172</v>
      </c>
      <c r="AB163" s="12"/>
      <c r="AC163" s="13">
        <f t="shared" si="84"/>
        <v>2026</v>
      </c>
      <c r="AD163" s="73">
        <f ca="1">Zalozenia!$O399*Zalozenia!$F469*Zalozenia!$C$496/Zalozenia!$F$507</f>
        <v>86041.770701498201</v>
      </c>
      <c r="AE163" s="19">
        <f ca="1">Zalozenia!$O399*Zalozenia!$F469*Zalozenia!$D$496/Zalozenia!$G$507</f>
        <v>2490.6828360960003</v>
      </c>
      <c r="AF163" s="19">
        <f ca="1">AD163*Zalozenia!$C611+Zalozenia!$D611*Obliczenia!AE163</f>
        <v>158461.1312822114</v>
      </c>
      <c r="AG163" s="19">
        <f ca="1">AG162*(1+Zalozenia!$K21)</f>
        <v>9.4864837328537917</v>
      </c>
      <c r="AH163" s="19">
        <f ca="1">Zalozenia!$O399*Obliczenia!AG163</f>
        <v>1094564.7607682047</v>
      </c>
      <c r="AI163" s="20">
        <f t="shared" si="90"/>
        <v>-936103.6294859933</v>
      </c>
      <c r="AK163" s="12"/>
      <c r="AL163" s="13">
        <f t="shared" si="85"/>
        <v>2026</v>
      </c>
      <c r="AM163" s="73">
        <f ca="1">Zalozenia!$P399*Zalozenia!$G469*Zalozenia!$C$496/Zalozenia!$F$507</f>
        <v>112254.50471210184</v>
      </c>
      <c r="AN163" s="19">
        <f ca="1">Zalozenia!$P399*Zalozenia!$G469*Zalozenia!$D$496/Zalozenia!$G$507</f>
        <v>3249.4725048240002</v>
      </c>
      <c r="AO163" s="19">
        <f ca="1">AM163*Zalozenia!$C611+Zalozenia!$D611*Obliczenia!AN163</f>
        <v>206736.51487154083</v>
      </c>
      <c r="AP163" s="19">
        <f ca="1">AP162*(1+Zalozenia!$K21)</f>
        <v>12.26301555710368</v>
      </c>
      <c r="AQ163" s="19">
        <f ca="1">Zalozenia!$P399*Obliczenia!AP163</f>
        <v>1339563.5522287732</v>
      </c>
      <c r="AR163" s="20">
        <f t="shared" si="91"/>
        <v>-1132827.0373572325</v>
      </c>
      <c r="AT163" s="12"/>
      <c r="AU163" s="13">
        <f t="shared" si="86"/>
        <v>2026</v>
      </c>
      <c r="AV163" s="73">
        <f ca="1">Zalozenia!$Q399*Zalozenia!$H469*Zalozenia!$C$496/Zalozenia!$F$507</f>
        <v>0</v>
      </c>
      <c r="AW163" s="19">
        <f ca="1">Zalozenia!$Q399*Zalozenia!$H469*Zalozenia!$D$496/Zalozenia!$G$507</f>
        <v>0</v>
      </c>
      <c r="AX163" s="19">
        <f ca="1">AV163*Zalozenia!$C611+Zalozenia!$D611*Obliczenia!AW163</f>
        <v>0</v>
      </c>
      <c r="AY163" s="19">
        <f ca="1">AY162*(1+Zalozenia!$K21)</f>
        <v>5.0903083444581316</v>
      </c>
      <c r="AZ163" s="19">
        <f ca="1">Zalozenia!$Q399*Obliczenia!AY163</f>
        <v>0</v>
      </c>
      <c r="BA163" s="20">
        <f t="shared" si="92"/>
        <v>0</v>
      </c>
      <c r="BC163" s="23">
        <f t="shared" si="93"/>
        <v>-523059.80429046304</v>
      </c>
      <c r="BD163" s="23">
        <f t="shared" si="94"/>
        <v>-1710028.7451318211</v>
      </c>
      <c r="BE163" s="23">
        <f t="shared" si="95"/>
        <v>-873686.03971292172</v>
      </c>
      <c r="BF163" s="23">
        <f t="shared" si="96"/>
        <v>-936103.6294859933</v>
      </c>
      <c r="BG163" s="23">
        <f t="shared" si="97"/>
        <v>-1132827.0373572325</v>
      </c>
      <c r="BH163" s="23">
        <f t="shared" si="98"/>
        <v>0</v>
      </c>
    </row>
    <row r="164" spans="1:60" s="4" customFormat="1">
      <c r="A164" s="12"/>
      <c r="B164" s="13">
        <f t="shared" si="81"/>
        <v>2027</v>
      </c>
      <c r="C164" s="73">
        <f ca="1">Zalozenia!$L400*Zalozenia!$C470*Zalozenia!$C$496/Zalozenia!$F$507</f>
        <v>49498.567018821821</v>
      </c>
      <c r="D164" s="19">
        <f ca="1">Zalozenia!$L400*Zalozenia!$C470*Zalozenia!$D$496/Zalozenia!$G$507</f>
        <v>1432.8532558079999</v>
      </c>
      <c r="E164" s="19">
        <f ca="1">C164*Zalozenia!$C612+Zalozenia!$D612*Obliczenia!D164</f>
        <v>93439.370601855175</v>
      </c>
      <c r="F164" s="19">
        <f ca="1">F163*(1+Zalozenia!$K22)</f>
        <v>12.765799194944929</v>
      </c>
      <c r="G164" s="19">
        <f ca="1">Zalozenia!$L400*Obliczenia!F164</f>
        <v>643365.23300158232</v>
      </c>
      <c r="H164" s="20">
        <f t="shared" si="87"/>
        <v>-549925.86239972711</v>
      </c>
      <c r="I164"/>
      <c r="J164" s="12"/>
      <c r="K164" s="13">
        <f t="shared" si="82"/>
        <v>2027</v>
      </c>
      <c r="L164" s="73">
        <f ca="1">Zalozenia!$M400*Zalozenia!$D470*Zalozenia!$C$496/Zalozenia!$F$507</f>
        <v>146920.07021498185</v>
      </c>
      <c r="M164" s="19">
        <f ca="1">Zalozenia!$M400*Zalozenia!$D470*Zalozenia!$D$496/Zalozenia!$G$507</f>
        <v>4252.9494009600003</v>
      </c>
      <c r="N164" s="19">
        <f ca="1">L164*Zalozenia!$C612+Zalozenia!$D612*Obliczenia!M164</f>
        <v>277343.76400125196</v>
      </c>
      <c r="O164" s="19">
        <f ca="1">O163*(1+Zalozenia!$K22)</f>
        <v>11.802342651930219</v>
      </c>
      <c r="P164" s="19">
        <f ca="1">Zalozenia!$M400*Obliczenia!O164</f>
        <v>2072536.6906747299</v>
      </c>
      <c r="Q164" s="20">
        <f t="shared" si="88"/>
        <v>-1795192.926673478</v>
      </c>
      <c r="S164" s="12"/>
      <c r="T164" s="13">
        <f t="shared" si="83"/>
        <v>2027</v>
      </c>
      <c r="U164" s="73">
        <f ca="1">Zalozenia!$N400*Zalozenia!$E470*Zalozenia!$C$496/Zalozenia!$F$507</f>
        <v>87724.286357760022</v>
      </c>
      <c r="V164" s="19">
        <f ca="1">Zalozenia!$N400*Zalozenia!$E470*Zalozenia!$D$496/Zalozenia!$G$507</f>
        <v>2539.3872366720002</v>
      </c>
      <c r="W164" s="19">
        <f ca="1">U164*Zalozenia!$C612+Zalozenia!$D612*Obliczenia!V164</f>
        <v>165598.77583222027</v>
      </c>
      <c r="X164" s="19">
        <f ca="1">X163*(1+Zalozenia!$K22)</f>
        <v>9.8754295659007969</v>
      </c>
      <c r="Y164" s="19">
        <f ca="1">Zalozenia!$N400*Obliczenia!X164</f>
        <v>1082514.8837219111</v>
      </c>
      <c r="Z164" s="20">
        <f t="shared" si="89"/>
        <v>-916916.1078896909</v>
      </c>
      <c r="AB164" s="12"/>
      <c r="AC164" s="13">
        <f t="shared" si="84"/>
        <v>2027</v>
      </c>
      <c r="AD164" s="73">
        <f ca="1">Zalozenia!$O400*Zalozenia!$F470*Zalozenia!$C$496/Zalozenia!$F$507</f>
        <v>86564.773761250923</v>
      </c>
      <c r="AE164" s="19">
        <f ca="1">Zalozenia!$O400*Zalozenia!$F470*Zalozenia!$D$496/Zalozenia!$G$507</f>
        <v>2505.8223983520002</v>
      </c>
      <c r="AF164" s="19">
        <f ca="1">AD164*Zalozenia!$C612+Zalozenia!$D612*Obliczenia!AE164</f>
        <v>163409.94222050105</v>
      </c>
      <c r="AG164" s="19">
        <f ca="1">AG163*(1+Zalozenia!$K22)</f>
        <v>9.8754295659007969</v>
      </c>
      <c r="AH164" s="19">
        <f ca="1">Zalozenia!$O400*Obliczenia!AG164</f>
        <v>1146367.9892331681</v>
      </c>
      <c r="AI164" s="20">
        <f t="shared" si="90"/>
        <v>-982958.04701266706</v>
      </c>
      <c r="AK164" s="12"/>
      <c r="AL164" s="13">
        <f t="shared" si="85"/>
        <v>2027</v>
      </c>
      <c r="AM164" s="73">
        <f ca="1">Zalozenia!$P400*Zalozenia!$G470*Zalozenia!$C$496/Zalozenia!$F$507</f>
        <v>112852.89909504002</v>
      </c>
      <c r="AN164" s="19">
        <f ca="1">Zalozenia!$P400*Zalozenia!$G470*Zalozenia!$D$496/Zalozenia!$G$507</f>
        <v>3266.7944474880001</v>
      </c>
      <c r="AO164" s="19">
        <f ca="1">AM164*Zalozenia!$C612+Zalozenia!$D612*Obliczenia!AN164</f>
        <v>213034.52801018488</v>
      </c>
      <c r="AP164" s="19">
        <f ca="1">AP163*(1+Zalozenia!$K22)</f>
        <v>12.765799194944929</v>
      </c>
      <c r="AQ164" s="19">
        <f ca="1">Zalozenia!$P400*Obliczenia!AP164</f>
        <v>1401919.2338045661</v>
      </c>
      <c r="AR164" s="20">
        <f t="shared" si="91"/>
        <v>-1188884.7057943812</v>
      </c>
      <c r="AT164" s="12"/>
      <c r="AU164" s="13">
        <f t="shared" si="86"/>
        <v>2027</v>
      </c>
      <c r="AV164" s="73">
        <f ca="1">Zalozenia!$Q400*Zalozenia!$H470*Zalozenia!$C$496/Zalozenia!$F$507</f>
        <v>0</v>
      </c>
      <c r="AW164" s="19">
        <f ca="1">Zalozenia!$Q400*Zalozenia!$H470*Zalozenia!$D$496/Zalozenia!$G$507</f>
        <v>0</v>
      </c>
      <c r="AX164" s="19">
        <f ca="1">AV164*Zalozenia!$C612+Zalozenia!$D612*Obliczenia!AW164</f>
        <v>0</v>
      </c>
      <c r="AY164" s="19">
        <f ca="1">AY163*(1+Zalozenia!$K22)</f>
        <v>5.2990109865809147</v>
      </c>
      <c r="AZ164" s="19">
        <f ca="1">Zalozenia!$Q400*Obliczenia!AY164</f>
        <v>0</v>
      </c>
      <c r="BA164" s="20">
        <f t="shared" si="92"/>
        <v>0</v>
      </c>
      <c r="BC164" s="23">
        <f t="shared" si="93"/>
        <v>-549925.86239972711</v>
      </c>
      <c r="BD164" s="23">
        <f t="shared" si="94"/>
        <v>-1795192.926673478</v>
      </c>
      <c r="BE164" s="23">
        <f t="shared" si="95"/>
        <v>-916916.1078896909</v>
      </c>
      <c r="BF164" s="23">
        <f t="shared" si="96"/>
        <v>-982958.04701266706</v>
      </c>
      <c r="BG164" s="23">
        <f t="shared" si="97"/>
        <v>-1188884.7057943812</v>
      </c>
      <c r="BH164" s="23">
        <f t="shared" si="98"/>
        <v>0</v>
      </c>
    </row>
    <row r="165" spans="1:60" s="4" customFormat="1">
      <c r="A165" s="12"/>
      <c r="B165" s="13">
        <f t="shared" si="81"/>
        <v>2028</v>
      </c>
      <c r="C165" s="73">
        <f ca="1">Zalozenia!$L401*Zalozenia!$C471*Zalozenia!$C$496/Zalozenia!$F$507</f>
        <v>49856.136778996362</v>
      </c>
      <c r="D165" s="19">
        <f ca="1">Zalozenia!$L401*Zalozenia!$C471*Zalozenia!$D$496/Zalozenia!$G$507</f>
        <v>1443.2039593919999</v>
      </c>
      <c r="E165" s="19">
        <f ca="1">C165*Zalozenia!$C613+Zalozenia!$D613*Obliczenia!D165</f>
        <v>96467.220767935956</v>
      </c>
      <c r="F165" s="19">
        <f ca="1">F164*(1+Zalozenia!$K23)</f>
        <v>13.28919696193767</v>
      </c>
      <c r="G165" s="19">
        <f ca="1">Zalozenia!$L401*Obliczenia!F165</f>
        <v>674581.32575739792</v>
      </c>
      <c r="H165" s="20">
        <f t="shared" si="87"/>
        <v>-578114.10498946195</v>
      </c>
      <c r="I165"/>
      <c r="J165" s="12"/>
      <c r="K165" s="13">
        <f t="shared" si="82"/>
        <v>2028</v>
      </c>
      <c r="L165" s="73">
        <f ca="1">Zalozenia!$M401*Zalozenia!$D471*Zalozenia!$C$496/Zalozenia!$F$507</f>
        <v>147799.83111447273</v>
      </c>
      <c r="M165" s="19">
        <f ca="1">Zalozenia!$M401*Zalozenia!$D471*Zalozenia!$D$496/Zalozenia!$G$507</f>
        <v>4278.4161638399992</v>
      </c>
      <c r="N165" s="19">
        <f ca="1">L165*Zalozenia!$C613+Zalozenia!$D613*Obliczenia!M165</f>
        <v>285979.61773063219</v>
      </c>
      <c r="O165" s="19">
        <f ca="1">O164*(1+Zalozenia!$K23)</f>
        <v>12.286238700659357</v>
      </c>
      <c r="P165" s="19">
        <f ca="1">Zalozenia!$M401*Obliczenia!O165</f>
        <v>2170429.920710911</v>
      </c>
      <c r="Q165" s="20">
        <f t="shared" si="88"/>
        <v>-1884450.3029802789</v>
      </c>
      <c r="S165" s="12"/>
      <c r="T165" s="13">
        <f t="shared" si="83"/>
        <v>2028</v>
      </c>
      <c r="U165" s="73">
        <f ca="1">Zalozenia!$N401*Zalozenia!$E471*Zalozenia!$C$496/Zalozenia!$F$507</f>
        <v>88187.117091840002</v>
      </c>
      <c r="V165" s="19">
        <f ca="1">Zalozenia!$N401*Zalozenia!$E471*Zalozenia!$D$496/Zalozenia!$G$507</f>
        <v>2552.7849684479997</v>
      </c>
      <c r="W165" s="19">
        <f ca="1">U165*Zalozenia!$C613+Zalozenia!$D613*Obliczenia!V165</f>
        <v>170634.28181563978</v>
      </c>
      <c r="X165" s="19">
        <f ca="1">X164*(1+Zalozenia!$K23)</f>
        <v>10.280322178102729</v>
      </c>
      <c r="Y165" s="19">
        <f ca="1">Zalozenia!$N401*Obliczenia!X165</f>
        <v>1132843.4743617047</v>
      </c>
      <c r="Z165" s="20">
        <f t="shared" si="89"/>
        <v>-962209.19254606485</v>
      </c>
      <c r="AB165" s="12"/>
      <c r="AC165" s="13">
        <f t="shared" si="84"/>
        <v>2028</v>
      </c>
      <c r="AD165" s="73">
        <f ca="1">Zalozenia!$O401*Zalozenia!$F471*Zalozenia!$C$496/Zalozenia!$F$507</f>
        <v>87087.776821003645</v>
      </c>
      <c r="AE165" s="19">
        <f ca="1">Zalozenia!$O401*Zalozenia!$F471*Zalozenia!$D$496/Zalozenia!$G$507</f>
        <v>2520.961960608</v>
      </c>
      <c r="AF165" s="19">
        <f ca="1">AD165*Zalozenia!$C613+Zalozenia!$D613*Obliczenia!AE165</f>
        <v>168507.15549865382</v>
      </c>
      <c r="AG165" s="19">
        <f ca="1">AG164*(1+Zalozenia!$K23)</f>
        <v>10.280322178102729</v>
      </c>
      <c r="AH165" s="19">
        <f ca="1">Zalozenia!$O401*Obliczenia!AG165</f>
        <v>1200579.1190694072</v>
      </c>
      <c r="AI165" s="20">
        <f t="shared" si="90"/>
        <v>-1032071.9635707533</v>
      </c>
      <c r="AK165" s="12"/>
      <c r="AL165" s="13">
        <f t="shared" si="85"/>
        <v>2028</v>
      </c>
      <c r="AM165" s="73">
        <f ca="1">Zalozenia!$P401*Zalozenia!$G471*Zalozenia!$C$496/Zalozenia!$F$507</f>
        <v>113451.29347797819</v>
      </c>
      <c r="AN165" s="19">
        <f ca="1">Zalozenia!$P401*Zalozenia!$G471*Zalozenia!$D$496/Zalozenia!$G$507</f>
        <v>3284.1163901519999</v>
      </c>
      <c r="AO165" s="19">
        <f ca="1">AM165*Zalozenia!$C613+Zalozenia!$D613*Obliczenia!AN165</f>
        <v>219518.2314839664</v>
      </c>
      <c r="AP165" s="19">
        <f ca="1">AP164*(1+Zalozenia!$K23)</f>
        <v>13.28919696193767</v>
      </c>
      <c r="AQ165" s="19">
        <f ca="1">Zalozenia!$P401*Obliczenia!AP165</f>
        <v>1467136.274938277</v>
      </c>
      <c r="AR165" s="20">
        <f t="shared" si="91"/>
        <v>-1247618.0434543106</v>
      </c>
      <c r="AT165" s="12"/>
      <c r="AU165" s="13">
        <f t="shared" si="86"/>
        <v>2028</v>
      </c>
      <c r="AV165" s="73">
        <f ca="1">Zalozenia!$Q401*Zalozenia!$H471*Zalozenia!$C$496/Zalozenia!$F$507</f>
        <v>0</v>
      </c>
      <c r="AW165" s="19">
        <f ca="1">Zalozenia!$Q401*Zalozenia!$H471*Zalozenia!$D$496/Zalozenia!$G$507</f>
        <v>0</v>
      </c>
      <c r="AX165" s="19">
        <f ca="1">AV165*Zalozenia!$C613+Zalozenia!$D613*Obliczenia!AW165</f>
        <v>0</v>
      </c>
      <c r="AY165" s="19">
        <f ca="1">AY164*(1+Zalozenia!$K23)</f>
        <v>5.5162704370307321</v>
      </c>
      <c r="AZ165" s="19">
        <f ca="1">Zalozenia!$Q401*Obliczenia!AY165</f>
        <v>0</v>
      </c>
      <c r="BA165" s="20">
        <f t="shared" si="92"/>
        <v>0</v>
      </c>
      <c r="BC165" s="23">
        <f t="shared" si="93"/>
        <v>-578114.10498946195</v>
      </c>
      <c r="BD165" s="23">
        <f t="shared" si="94"/>
        <v>-1884450.3029802789</v>
      </c>
      <c r="BE165" s="23">
        <f t="shared" si="95"/>
        <v>-962209.19254606485</v>
      </c>
      <c r="BF165" s="23">
        <f t="shared" si="96"/>
        <v>-1032071.9635707533</v>
      </c>
      <c r="BG165" s="23">
        <f t="shared" si="97"/>
        <v>-1247618.0434543106</v>
      </c>
      <c r="BH165" s="23">
        <f t="shared" si="98"/>
        <v>0</v>
      </c>
    </row>
    <row r="166" spans="1:60" s="4" customFormat="1">
      <c r="A166" s="12"/>
      <c r="B166" s="13">
        <f t="shared" si="81"/>
        <v>2029</v>
      </c>
      <c r="C166" s="73">
        <f ca="1">Zalozenia!$L402*Zalozenia!$C472*Zalozenia!$C$496/Zalozenia!$F$507</f>
        <v>50213.706539170904</v>
      </c>
      <c r="D166" s="19">
        <f ca="1">Zalozenia!$L402*Zalozenia!$C472*Zalozenia!$D$496/Zalozenia!$G$507</f>
        <v>1453.5546629759999</v>
      </c>
      <c r="E166" s="19">
        <f ca="1">C166*Zalozenia!$C614+Zalozenia!$D614*Obliczenia!D166</f>
        <v>99588.063835694629</v>
      </c>
      <c r="F166" s="19">
        <f ca="1">F165*(1+Zalozenia!$K24)</f>
        <v>13.834054037377113</v>
      </c>
      <c r="G166" s="19">
        <f ca="1">Zalozenia!$L402*Obliczenia!F166</f>
        <v>707275.64116251492</v>
      </c>
      <c r="H166" s="20">
        <f t="shared" si="87"/>
        <v>-607687.57732682023</v>
      </c>
      <c r="I166"/>
      <c r="J166" s="12"/>
      <c r="K166" s="13">
        <f t="shared" si="82"/>
        <v>2029</v>
      </c>
      <c r="L166" s="73">
        <f ca="1">Zalozenia!$M402*Zalozenia!$D472*Zalozenia!$C$496/Zalozenia!$F$507</f>
        <v>148679.59201396367</v>
      </c>
      <c r="M166" s="19">
        <f ca="1">Zalozenia!$M402*Zalozenia!$D472*Zalozenia!$D$496/Zalozenia!$G$507</f>
        <v>4303.8829267200008</v>
      </c>
      <c r="N166" s="19">
        <f ca="1">L166*Zalozenia!$C614+Zalozenia!$D614*Obliczenia!M166</f>
        <v>294873.92429398076</v>
      </c>
      <c r="O166" s="19">
        <f ca="1">O165*(1+Zalozenia!$K24)</f>
        <v>12.78997448738639</v>
      </c>
      <c r="P166" s="19">
        <f ca="1">Zalozenia!$M402*Obliczenia!O166</f>
        <v>2272866.4614330349</v>
      </c>
      <c r="Q166" s="20">
        <f t="shared" si="88"/>
        <v>-1977992.5371390542</v>
      </c>
      <c r="S166" s="12"/>
      <c r="T166" s="13">
        <f t="shared" si="83"/>
        <v>2029</v>
      </c>
      <c r="U166" s="73">
        <f ca="1">Zalozenia!$N402*Zalozenia!$E472*Zalozenia!$C$496/Zalozenia!$F$507</f>
        <v>88649.947825920011</v>
      </c>
      <c r="V166" s="19">
        <f ca="1">Zalozenia!$N402*Zalozenia!$E472*Zalozenia!$D$496/Zalozenia!$G$507</f>
        <v>2566.1827002239997</v>
      </c>
      <c r="W166" s="19">
        <f ca="1">U166*Zalozenia!$C614+Zalozenia!$D614*Obliczenia!V166</f>
        <v>175818.06386333515</v>
      </c>
      <c r="X166" s="19">
        <f ca="1">X165*(1+Zalozenia!$K24)</f>
        <v>10.70181538740494</v>
      </c>
      <c r="Y166" s="19">
        <f ca="1">Zalozenia!$N402*Obliczenia!X166</f>
        <v>1185479.3019144246</v>
      </c>
      <c r="Z166" s="20">
        <f t="shared" si="89"/>
        <v>-1009661.2380510895</v>
      </c>
      <c r="AB166" s="12"/>
      <c r="AC166" s="13">
        <f t="shared" si="84"/>
        <v>2029</v>
      </c>
      <c r="AD166" s="73">
        <f ca="1">Zalozenia!$O402*Zalozenia!$F472*Zalozenia!$C$496/Zalozenia!$F$507</f>
        <v>87610.779880756381</v>
      </c>
      <c r="AE166" s="19">
        <f ca="1">Zalozenia!$O402*Zalozenia!$F472*Zalozenia!$D$496/Zalozenia!$G$507</f>
        <v>2536.1015228640003</v>
      </c>
      <c r="AF166" s="19">
        <f ca="1">AD166*Zalozenia!$C614+Zalozenia!$D614*Obliczenia!AE166</f>
        <v>173757.09822682646</v>
      </c>
      <c r="AG166" s="19">
        <f ca="1">AG165*(1+Zalozenia!$K24)</f>
        <v>10.70181538740494</v>
      </c>
      <c r="AH166" s="19">
        <f ca="1">Zalozenia!$O402*Obliczenia!AG166</f>
        <v>1257308.5169623171</v>
      </c>
      <c r="AI166" s="20">
        <f t="shared" si="90"/>
        <v>-1083551.4187354906</v>
      </c>
      <c r="AK166" s="12"/>
      <c r="AL166" s="13">
        <f t="shared" si="85"/>
        <v>2029</v>
      </c>
      <c r="AM166" s="73">
        <f ca="1">Zalozenia!$P402*Zalozenia!$G472*Zalozenia!$C$496/Zalozenia!$F$507</f>
        <v>114049.68786091637</v>
      </c>
      <c r="AN166" s="19">
        <f ca="1">Zalozenia!$P402*Zalozenia!$G472*Zalozenia!$D$496/Zalozenia!$G$507</f>
        <v>3301.4383328160002</v>
      </c>
      <c r="AO166" s="19">
        <f ca="1">AM166*Zalozenia!$C614+Zalozenia!$D614*Obliczenia!AN166</f>
        <v>226192.97355143068</v>
      </c>
      <c r="AP166" s="19">
        <f ca="1">AP165*(1+Zalozenia!$K24)</f>
        <v>13.834054037377113</v>
      </c>
      <c r="AQ166" s="19">
        <f ca="1">Zalozenia!$P402*Obliczenia!AP166</f>
        <v>1535344.4872129271</v>
      </c>
      <c r="AR166" s="20">
        <f t="shared" si="91"/>
        <v>-1309151.5136614963</v>
      </c>
      <c r="AT166" s="12"/>
      <c r="AU166" s="13">
        <f t="shared" si="86"/>
        <v>2029</v>
      </c>
      <c r="AV166" s="73">
        <f ca="1">Zalozenia!$Q402*Zalozenia!$H472*Zalozenia!$C$496/Zalozenia!$F$507</f>
        <v>0</v>
      </c>
      <c r="AW166" s="19">
        <f ca="1">Zalozenia!$Q402*Zalozenia!$H472*Zalozenia!$D$496/Zalozenia!$G$507</f>
        <v>0</v>
      </c>
      <c r="AX166" s="19">
        <f ca="1">AV166*Zalozenia!$C614+Zalozenia!$D614*Obliczenia!AW166</f>
        <v>0</v>
      </c>
      <c r="AY166" s="19">
        <f ca="1">AY165*(1+Zalozenia!$K24)</f>
        <v>5.7424375249489916</v>
      </c>
      <c r="AZ166" s="19">
        <f ca="1">Zalozenia!$Q402*Obliczenia!AY166</f>
        <v>0</v>
      </c>
      <c r="BA166" s="20">
        <f t="shared" si="92"/>
        <v>0</v>
      </c>
      <c r="BC166" s="23">
        <f t="shared" si="93"/>
        <v>-607687.57732682023</v>
      </c>
      <c r="BD166" s="23">
        <f t="shared" si="94"/>
        <v>-1977992.5371390542</v>
      </c>
      <c r="BE166" s="23">
        <f t="shared" si="95"/>
        <v>-1009661.2380510895</v>
      </c>
      <c r="BF166" s="23">
        <f t="shared" si="96"/>
        <v>-1083551.4187354906</v>
      </c>
      <c r="BG166" s="23">
        <f t="shared" si="97"/>
        <v>-1309151.5136614963</v>
      </c>
      <c r="BH166" s="23">
        <f t="shared" si="98"/>
        <v>0</v>
      </c>
    </row>
    <row r="167" spans="1:60" s="4" customFormat="1">
      <c r="A167" s="12"/>
      <c r="B167" s="13">
        <f t="shared" si="81"/>
        <v>2030</v>
      </c>
      <c r="C167" s="73">
        <f ca="1">Zalozenia!$L403*Zalozenia!$C473*Zalozenia!$C$496/Zalozenia!$F$507</f>
        <v>50571.276299345453</v>
      </c>
      <c r="D167" s="19">
        <f ca="1">Zalozenia!$L403*Zalozenia!$C473*Zalozenia!$D$496/Zalozenia!$G$507</f>
        <v>1463.9053665599997</v>
      </c>
      <c r="E167" s="19">
        <f ca="1">C167*Zalozenia!$C615+Zalozenia!$D615*Obliczenia!D167</f>
        <v>102804.65704386128</v>
      </c>
      <c r="F167" s="19">
        <f ca="1">F166*(1+Zalozenia!$K25)</f>
        <v>14.401250252909573</v>
      </c>
      <c r="G167" s="19">
        <f ca="1">Zalozenia!$L403*Obliczenia!F167</f>
        <v>741516.91922225314</v>
      </c>
      <c r="H167" s="20">
        <f t="shared" si="87"/>
        <v>-638712.26217839192</v>
      </c>
      <c r="I167"/>
      <c r="J167" s="12"/>
      <c r="K167" s="13">
        <f t="shared" si="82"/>
        <v>2030</v>
      </c>
      <c r="L167" s="73">
        <f ca="1">Zalozenia!$M403*Zalozenia!$D473*Zalozenia!$C$496/Zalozenia!$F$507</f>
        <v>149559.35291345455</v>
      </c>
      <c r="M167" s="19">
        <f ca="1">Zalozenia!$M403*Zalozenia!$D473*Zalozenia!$D$496/Zalozenia!$G$507</f>
        <v>4329.3496895999997</v>
      </c>
      <c r="N167" s="19">
        <f ca="1">L167*Zalozenia!$C615+Zalozenia!$D615*Obliczenia!M167</f>
        <v>304034.208924415</v>
      </c>
      <c r="O167" s="19">
        <f ca="1">O166*(1+Zalozenia!$K25)</f>
        <v>13.314363441369231</v>
      </c>
      <c r="P167" s="19">
        <f ca="1">Zalozenia!$M403*Obliczenia!O167</f>
        <v>2380054.3057976575</v>
      </c>
      <c r="Q167" s="20">
        <f t="shared" si="88"/>
        <v>-2076020.0968732424</v>
      </c>
      <c r="S167" s="12"/>
      <c r="T167" s="13">
        <f t="shared" si="83"/>
        <v>2030</v>
      </c>
      <c r="U167" s="73">
        <f ca="1">Zalozenia!$N403*Zalozenia!$E473*Zalozenia!$C$496/Zalozenia!$F$507</f>
        <v>89112.778560000021</v>
      </c>
      <c r="V167" s="19">
        <f ca="1">Zalozenia!$N403*Zalozenia!$E473*Zalozenia!$D$496/Zalozenia!$G$507</f>
        <v>2579.5804320000002</v>
      </c>
      <c r="W167" s="19">
        <f ca="1">U167*Zalozenia!$C615+Zalozenia!$D615*Obliczenia!V167</f>
        <v>181154.38858728055</v>
      </c>
      <c r="X167" s="19">
        <f ca="1">X166*(1+Zalozenia!$K25)</f>
        <v>11.140589818288541</v>
      </c>
      <c r="Y167" s="19">
        <f ca="1">Zalozenia!$N403*Obliczenia!X167</f>
        <v>1240526.9574460657</v>
      </c>
      <c r="Z167" s="20">
        <f t="shared" si="89"/>
        <v>-1059372.5688587851</v>
      </c>
      <c r="AB167" s="12"/>
      <c r="AC167" s="13">
        <f t="shared" si="84"/>
        <v>2030</v>
      </c>
      <c r="AD167" s="73">
        <f ca="1">Zalozenia!$O403*Zalozenia!$F473*Zalozenia!$C$496/Zalozenia!$F$507</f>
        <v>88133.782940509103</v>
      </c>
      <c r="AE167" s="19">
        <f ca="1">Zalozenia!$O403*Zalozenia!$F473*Zalozenia!$D$496/Zalozenia!$G$507</f>
        <v>2551.2410851199998</v>
      </c>
      <c r="AF167" s="19">
        <f ca="1">AD167*Zalozenia!$C615+Zalozenia!$D615*Obliczenia!AE167</f>
        <v>179164.22111922104</v>
      </c>
      <c r="AG167" s="19">
        <f ca="1">AG166*(1+Zalozenia!$K25)</f>
        <v>11.140589818288541</v>
      </c>
      <c r="AH167" s="19">
        <f ca="1">Zalozenia!$O403*Obliczenia!AG167</f>
        <v>1316671.5519832894</v>
      </c>
      <c r="AI167" s="20">
        <f t="shared" si="90"/>
        <v>-1137507.3308640684</v>
      </c>
      <c r="AK167" s="12"/>
      <c r="AL167" s="13">
        <f t="shared" si="85"/>
        <v>2030</v>
      </c>
      <c r="AM167" s="73">
        <f ca="1">Zalozenia!$P403*Zalozenia!$G473*Zalozenia!$C$496/Zalozenia!$F$507</f>
        <v>114648.08224385456</v>
      </c>
      <c r="AN167" s="19">
        <f ca="1">Zalozenia!$P403*Zalozenia!$G473*Zalozenia!$D$496/Zalozenia!$G$507</f>
        <v>3318.7602754800005</v>
      </c>
      <c r="AO167" s="19">
        <f ca="1">AM167*Zalozenia!$C615+Zalozenia!$D615*Obliczenia!AN167</f>
        <v>233064.25382759073</v>
      </c>
      <c r="AP167" s="19">
        <f ca="1">AP166*(1+Zalozenia!$K25)</f>
        <v>14.401250252909573</v>
      </c>
      <c r="AQ167" s="19">
        <f ca="1">Zalozenia!$P403*Obliczenia!AP167</f>
        <v>1606679.5168159273</v>
      </c>
      <c r="AR167" s="20">
        <f t="shared" si="91"/>
        <v>-1373615.2629883366</v>
      </c>
      <c r="AT167" s="12"/>
      <c r="AU167" s="13">
        <f t="shared" si="86"/>
        <v>2030</v>
      </c>
      <c r="AV167" s="73">
        <f ca="1">Zalozenia!$Q403*Zalozenia!$H473*Zalozenia!$C$496/Zalozenia!$F$507</f>
        <v>0</v>
      </c>
      <c r="AW167" s="19">
        <f ca="1">Zalozenia!$Q403*Zalozenia!$H473*Zalozenia!$D$496/Zalozenia!$G$507</f>
        <v>0</v>
      </c>
      <c r="AX167" s="19">
        <f ca="1">AV167*Zalozenia!$C615+Zalozenia!$D615*Obliczenia!AW167</f>
        <v>0</v>
      </c>
      <c r="AY167" s="19">
        <f ca="1">AY166*(1+Zalozenia!$K25)</f>
        <v>5.9778774634718994</v>
      </c>
      <c r="AZ167" s="19">
        <f ca="1">Zalozenia!$Q403*Obliczenia!AY167</f>
        <v>0</v>
      </c>
      <c r="BA167" s="20">
        <f t="shared" si="92"/>
        <v>0</v>
      </c>
      <c r="BC167" s="23">
        <f t="shared" si="93"/>
        <v>-638712.26217839192</v>
      </c>
      <c r="BD167" s="23">
        <f t="shared" si="94"/>
        <v>-2076020.0968732424</v>
      </c>
      <c r="BE167" s="23">
        <f t="shared" si="95"/>
        <v>-1059372.5688587851</v>
      </c>
      <c r="BF167" s="23">
        <f t="shared" si="96"/>
        <v>-1137507.3308640684</v>
      </c>
      <c r="BG167" s="23">
        <f t="shared" si="97"/>
        <v>-1373615.2629883366</v>
      </c>
      <c r="BH167" s="23">
        <f t="shared" si="98"/>
        <v>0</v>
      </c>
    </row>
    <row r="168" spans="1:60" s="4" customFormat="1">
      <c r="A168" s="12"/>
      <c r="B168" s="13">
        <f t="shared" si="81"/>
        <v>2031</v>
      </c>
      <c r="C168" s="73">
        <f ca="1">Zalozenia!$L404*Zalozenia!$C474*Zalozenia!$C$496/Zalozenia!$F$507</f>
        <v>50928.846059520001</v>
      </c>
      <c r="D168" s="19">
        <f ca="1">Zalozenia!$L404*Zalozenia!$C474*Zalozenia!$D$496/Zalozenia!$G$507</f>
        <v>1474.256070144</v>
      </c>
      <c r="E168" s="19">
        <f ca="1">C168*Zalozenia!$C616+Zalozenia!$D616*Obliczenia!D168</f>
        <v>106119.83737253897</v>
      </c>
      <c r="F168" s="19">
        <f ca="1">F167*(1+Zalozenia!$K26)</f>
        <v>14.991701513278866</v>
      </c>
      <c r="G168" s="19">
        <f ca="1">Zalozenia!$L404*Obliczenia!F168</f>
        <v>777377.05173009599</v>
      </c>
      <c r="H168" s="20">
        <f t="shared" si="87"/>
        <v>-671257.21435755701</v>
      </c>
      <c r="I168"/>
      <c r="J168" s="12"/>
      <c r="K168" s="13">
        <f t="shared" si="82"/>
        <v>2031</v>
      </c>
      <c r="L168" s="73">
        <f ca="1">Zalozenia!$M404*Zalozenia!$D474*Zalozenia!$C$496/Zalozenia!$F$507</f>
        <v>150439.11381294546</v>
      </c>
      <c r="M168" s="19">
        <f ca="1">Zalozenia!$M404*Zalozenia!$D474*Zalozenia!$D$496/Zalozenia!$G$507</f>
        <v>4354.8164524799995</v>
      </c>
      <c r="N168" s="19">
        <f ca="1">L168*Zalozenia!$C616+Zalozenia!$D616*Obliczenia!M168</f>
        <v>313468.21158368723</v>
      </c>
      <c r="O168" s="19">
        <f ca="1">O167*(1+Zalozenia!$K26)</f>
        <v>13.860252342465369</v>
      </c>
      <c r="P168" s="19">
        <f ca="1">Zalozenia!$M404*Obliczenia!O168</f>
        <v>2492210.8648785106</v>
      </c>
      <c r="Q168" s="20">
        <f t="shared" si="88"/>
        <v>-2178742.6532948231</v>
      </c>
      <c r="S168" s="12"/>
      <c r="T168" s="13">
        <f t="shared" si="83"/>
        <v>2031</v>
      </c>
      <c r="U168" s="73">
        <f ca="1">Zalozenia!$N404*Zalozenia!$E474*Zalozenia!$C$496/Zalozenia!$F$507</f>
        <v>89575.609294080001</v>
      </c>
      <c r="V168" s="19">
        <f ca="1">Zalozenia!$N404*Zalozenia!$E474*Zalozenia!$D$496/Zalozenia!$G$507</f>
        <v>2592.9781637759997</v>
      </c>
      <c r="W168" s="19">
        <f ca="1">U168*Zalozenia!$C616+Zalozenia!$D616*Obliczenia!V168</f>
        <v>186647.64325750855</v>
      </c>
      <c r="X168" s="19">
        <f ca="1">X167*(1+Zalozenia!$K26)</f>
        <v>11.59735400083837</v>
      </c>
      <c r="Y168" s="19">
        <f ca="1">Zalozenia!$N404*Obliczenia!X168</f>
        <v>1298095.7300247829</v>
      </c>
      <c r="Z168" s="20">
        <f t="shared" si="89"/>
        <v>-1111448.0867672744</v>
      </c>
      <c r="AB168" s="12"/>
      <c r="AC168" s="13">
        <f t="shared" si="84"/>
        <v>2031</v>
      </c>
      <c r="AD168" s="73">
        <f ca="1">Zalozenia!$O404*Zalozenia!$F474*Zalozenia!$C$496/Zalozenia!$F$507</f>
        <v>88656.78600026184</v>
      </c>
      <c r="AE168" s="19">
        <f ca="1">Zalozenia!$O404*Zalozenia!$F474*Zalozenia!$D$496/Zalozenia!$G$507</f>
        <v>2566.3806473760001</v>
      </c>
      <c r="AF168" s="19">
        <f ca="1">AD168*Zalozenia!$C616+Zalozenia!$D616*Obliczenia!AE168</f>
        <v>184733.10196984358</v>
      </c>
      <c r="AG168" s="19">
        <f ca="1">AG167*(1+Zalozenia!$K26)</f>
        <v>11.59735400083837</v>
      </c>
      <c r="AH168" s="19">
        <f ca="1">Zalozenia!$O404*Obliczenia!AG168</f>
        <v>1378788.8202589685</v>
      </c>
      <c r="AI168" s="20">
        <f t="shared" si="90"/>
        <v>-1194055.718289125</v>
      </c>
      <c r="AK168" s="12"/>
      <c r="AL168" s="13">
        <f t="shared" si="85"/>
        <v>2031</v>
      </c>
      <c r="AM168" s="73">
        <f ca="1">Zalozenia!$P404*Zalozenia!$G474*Zalozenia!$C$496/Zalozenia!$F$507</f>
        <v>115246.47662679275</v>
      </c>
      <c r="AN168" s="19">
        <f ca="1">Zalozenia!$P404*Zalozenia!$G474*Zalozenia!$D$496/Zalozenia!$G$507</f>
        <v>3336.0822181439999</v>
      </c>
      <c r="AO168" s="19">
        <f ca="1">AM168*Zalozenia!$C616+Zalozenia!$D616*Obliczenia!AN168</f>
        <v>240137.72750908908</v>
      </c>
      <c r="AP168" s="19">
        <f ca="1">AP167*(1+Zalozenia!$K26)</f>
        <v>14.991701513278866</v>
      </c>
      <c r="AQ168" s="19">
        <f ca="1">Zalozenia!$P404*Obliczenia!AP168</f>
        <v>1681283.1047633688</v>
      </c>
      <c r="AR168" s="20">
        <f t="shared" si="91"/>
        <v>-1441145.3772542798</v>
      </c>
      <c r="AT168" s="12"/>
      <c r="AU168" s="13">
        <f t="shared" si="86"/>
        <v>2031</v>
      </c>
      <c r="AV168" s="73">
        <f ca="1">Zalozenia!$Q404*Zalozenia!$H474*Zalozenia!$C$496/Zalozenia!$F$507</f>
        <v>0</v>
      </c>
      <c r="AW168" s="19">
        <f ca="1">Zalozenia!$Q404*Zalozenia!$H474*Zalozenia!$D$496/Zalozenia!$G$507</f>
        <v>0</v>
      </c>
      <c r="AX168" s="19">
        <f ca="1">AV168*Zalozenia!$C616+Zalozenia!$D616*Obliczenia!AW168</f>
        <v>0</v>
      </c>
      <c r="AY168" s="19">
        <f ca="1">AY167*(1+Zalozenia!$K26)</f>
        <v>6.2229704394742464</v>
      </c>
      <c r="AZ168" s="19">
        <f ca="1">Zalozenia!$Q404*Obliczenia!AY168</f>
        <v>0</v>
      </c>
      <c r="BA168" s="20">
        <f t="shared" si="92"/>
        <v>0</v>
      </c>
      <c r="BC168" s="23">
        <f t="shared" si="93"/>
        <v>-671257.21435755701</v>
      </c>
      <c r="BD168" s="23">
        <f t="shared" si="94"/>
        <v>-2178742.6532948231</v>
      </c>
      <c r="BE168" s="23">
        <f t="shared" si="95"/>
        <v>-1111448.0867672744</v>
      </c>
      <c r="BF168" s="23">
        <f t="shared" si="96"/>
        <v>-1194055.718289125</v>
      </c>
      <c r="BG168" s="23">
        <f t="shared" si="97"/>
        <v>-1441145.3772542798</v>
      </c>
      <c r="BH168" s="23">
        <f t="shared" si="98"/>
        <v>0</v>
      </c>
    </row>
    <row r="169" spans="1:60" s="4" customFormat="1">
      <c r="A169" s="12"/>
      <c r="B169" s="13">
        <f t="shared" si="81"/>
        <v>2032</v>
      </c>
      <c r="C169" s="73">
        <f ca="1">Zalozenia!$L405*Zalozenia!$C475*Zalozenia!$C$496/Zalozenia!$F$507</f>
        <v>51286.41581969455</v>
      </c>
      <c r="D169" s="19">
        <f ca="1">Zalozenia!$L405*Zalozenia!$C475*Zalozenia!$D$496/Zalozenia!$G$507</f>
        <v>1484.606773728</v>
      </c>
      <c r="E169" s="19">
        <f ca="1">C169*Zalozenia!$C617+Zalozenia!$D617*Obliczenia!D169</f>
        <v>109536.52380699811</v>
      </c>
      <c r="F169" s="19">
        <f ca="1">F168*(1+Zalozenia!$K27)</f>
        <v>15.606361275323298</v>
      </c>
      <c r="G169" s="19">
        <f ca="1">Zalozenia!$L405*Obliczenia!F169</f>
        <v>814931.22516236908</v>
      </c>
      <c r="H169" s="20">
        <f t="shared" si="87"/>
        <v>-705394.70135537093</v>
      </c>
      <c r="I169"/>
      <c r="J169" s="12"/>
      <c r="K169" s="13">
        <f t="shared" si="82"/>
        <v>2032</v>
      </c>
      <c r="L169" s="73">
        <f ca="1">Zalozenia!$M405*Zalozenia!$D475*Zalozenia!$C$496/Zalozenia!$F$507</f>
        <v>151318.87471243637</v>
      </c>
      <c r="M169" s="19">
        <f ca="1">Zalozenia!$M405*Zalozenia!$D475*Zalozenia!$D$496/Zalozenia!$G$507</f>
        <v>4380.2832153600002</v>
      </c>
      <c r="N169" s="19">
        <f ca="1">L169*Zalozenia!$C617+Zalozenia!$D617*Obliczenia!M169</f>
        <v>323183.89299534541</v>
      </c>
      <c r="O169" s="19">
        <f ca="1">O168*(1+Zalozenia!$K27)</f>
        <v>14.428522688506447</v>
      </c>
      <c r="P169" s="19">
        <f ca="1">Zalozenia!$M405*Obliczenia!O169</f>
        <v>2609563.3905159477</v>
      </c>
      <c r="Q169" s="20">
        <f t="shared" si="88"/>
        <v>-2286379.4975206023</v>
      </c>
      <c r="S169" s="12"/>
      <c r="T169" s="13">
        <f t="shared" si="83"/>
        <v>2032</v>
      </c>
      <c r="U169" s="73">
        <f ca="1">Zalozenia!$N405*Zalozenia!$E475*Zalozenia!$C$496/Zalozenia!$F$507</f>
        <v>90038.44002816001</v>
      </c>
      <c r="V169" s="19">
        <f ca="1">Zalozenia!$N405*Zalozenia!$E475*Zalozenia!$D$496/Zalozenia!$G$507</f>
        <v>2606.3758955519997</v>
      </c>
      <c r="W169" s="19">
        <f ca="1">U169*Zalozenia!$C617+Zalozenia!$D617*Obliczenia!V169</f>
        <v>192302.33916838098</v>
      </c>
      <c r="X169" s="19">
        <f ca="1">X168*(1+Zalozenia!$K27)</f>
        <v>12.072845514872743</v>
      </c>
      <c r="Y169" s="19">
        <f ca="1">Zalozenia!$N405*Obliczenia!X169</f>
        <v>1358299.8161394885</v>
      </c>
      <c r="Z169" s="20">
        <f t="shared" si="89"/>
        <v>-1165997.4769711075</v>
      </c>
      <c r="AB169" s="12"/>
      <c r="AC169" s="13">
        <f t="shared" si="84"/>
        <v>2032</v>
      </c>
      <c r="AD169" s="73">
        <f ca="1">Zalozenia!$O405*Zalozenia!$F475*Zalozenia!$C$496/Zalozenia!$F$507</f>
        <v>89179.789060014562</v>
      </c>
      <c r="AE169" s="19">
        <f ca="1">Zalozenia!$O405*Zalozenia!$F475*Zalozenia!$D$496/Zalozenia!$G$507</f>
        <v>2581.5202096320004</v>
      </c>
      <c r="AF169" s="19">
        <f ca="1">AD169*Zalozenia!$C617+Zalozenia!$D617*Obliczenia!AE169</f>
        <v>190468.44922479775</v>
      </c>
      <c r="AG169" s="19">
        <f ca="1">AG168*(1+Zalozenia!$K27)</f>
        <v>12.072845514872743</v>
      </c>
      <c r="AH169" s="19">
        <f ca="1">Zalozenia!$O405*Obliczenia!AG169</f>
        <v>1443786.3796543689</v>
      </c>
      <c r="AI169" s="20">
        <f t="shared" si="90"/>
        <v>-1253317.9304295711</v>
      </c>
      <c r="AK169" s="12"/>
      <c r="AL169" s="13">
        <f t="shared" si="85"/>
        <v>2032</v>
      </c>
      <c r="AM169" s="73">
        <f ca="1">Zalozenia!$P405*Zalozenia!$G475*Zalozenia!$C$496/Zalozenia!$F$507</f>
        <v>115844.87100973092</v>
      </c>
      <c r="AN169" s="19">
        <f ca="1">Zalozenia!$P405*Zalozenia!$G475*Zalozenia!$D$496/Zalozenia!$G$507</f>
        <v>3353.4041608080001</v>
      </c>
      <c r="AO169" s="19">
        <f ca="1">AM169*Zalozenia!$C617+Zalozenia!$D617*Obliczenia!AN169</f>
        <v>247419.20971602009</v>
      </c>
      <c r="AP169" s="19">
        <f ca="1">AP168*(1+Zalozenia!$K27)</f>
        <v>15.606361275323298</v>
      </c>
      <c r="AQ169" s="19">
        <f ca="1">Zalozenia!$P405*Obliczenia!AP169</f>
        <v>1759303.3586547324</v>
      </c>
      <c r="AR169" s="20">
        <f t="shared" si="91"/>
        <v>-1511884.1489387122</v>
      </c>
      <c r="AT169" s="12"/>
      <c r="AU169" s="13">
        <f t="shared" si="86"/>
        <v>2032</v>
      </c>
      <c r="AV169" s="73">
        <f ca="1">Zalozenia!$Q405*Zalozenia!$H475*Zalozenia!$C$496/Zalozenia!$F$507</f>
        <v>0</v>
      </c>
      <c r="AW169" s="19">
        <f ca="1">Zalozenia!$Q405*Zalozenia!$H475*Zalozenia!$D$496/Zalozenia!$G$507</f>
        <v>0</v>
      </c>
      <c r="AX169" s="19">
        <f ca="1">AV169*Zalozenia!$C617+Zalozenia!$D617*Obliczenia!AW169</f>
        <v>0</v>
      </c>
      <c r="AY169" s="19">
        <f ca="1">AY168*(1+Zalozenia!$K27)</f>
        <v>6.4781122274926899</v>
      </c>
      <c r="AZ169" s="19">
        <f ca="1">Zalozenia!$Q405*Obliczenia!AY169</f>
        <v>0</v>
      </c>
      <c r="BA169" s="20">
        <f t="shared" si="92"/>
        <v>0</v>
      </c>
      <c r="BC169" s="23">
        <f t="shared" si="93"/>
        <v>-705394.70135537093</v>
      </c>
      <c r="BD169" s="23">
        <f t="shared" si="94"/>
        <v>-2286379.4975206023</v>
      </c>
      <c r="BE169" s="23">
        <f t="shared" si="95"/>
        <v>-1165997.4769711075</v>
      </c>
      <c r="BF169" s="23">
        <f t="shared" si="96"/>
        <v>-1253317.9304295711</v>
      </c>
      <c r="BG169" s="23">
        <f t="shared" si="97"/>
        <v>-1511884.1489387122</v>
      </c>
      <c r="BH169" s="23">
        <f t="shared" si="98"/>
        <v>0</v>
      </c>
    </row>
    <row r="170" spans="1:60" s="4" customFormat="1">
      <c r="A170" s="12"/>
      <c r="B170" s="13">
        <f t="shared" si="81"/>
        <v>2033</v>
      </c>
      <c r="C170" s="73">
        <f ca="1">Zalozenia!$L406*Zalozenia!$C476*Zalozenia!$C$496/Zalozenia!$F$507</f>
        <v>51643.985579869091</v>
      </c>
      <c r="D170" s="19">
        <f ca="1">Zalozenia!$L406*Zalozenia!$C476*Zalozenia!$D$496/Zalozenia!$G$507</f>
        <v>1494.957477312</v>
      </c>
      <c r="E170" s="19">
        <f ca="1">C170*Zalozenia!$C618+Zalozenia!$D618*Obliczenia!D170</f>
        <v>113057.71966482238</v>
      </c>
      <c r="F170" s="19">
        <f ca="1">F169*(1+Zalozenia!$K28)</f>
        <v>16.246222087611553</v>
      </c>
      <c r="G170" s="19">
        <f ca="1">Zalozenia!$L406*Obliczenia!F170</f>
        <v>854258.06999213039</v>
      </c>
      <c r="H170" s="20">
        <f t="shared" si="87"/>
        <v>-741200.35032730806</v>
      </c>
      <c r="I170"/>
      <c r="J170" s="12"/>
      <c r="K170" s="13">
        <f t="shared" si="82"/>
        <v>2033</v>
      </c>
      <c r="L170" s="73">
        <f ca="1">Zalozenia!$M406*Zalozenia!$D476*Zalozenia!$C$496/Zalozenia!$F$507</f>
        <v>152198.63561192728</v>
      </c>
      <c r="M170" s="19">
        <f ca="1">Zalozenia!$M406*Zalozenia!$D476*Zalozenia!$D$496/Zalozenia!$G$507</f>
        <v>4405.74997824</v>
      </c>
      <c r="N170" s="19">
        <f ca="1">L170*Zalozenia!$C618+Zalozenia!$D618*Obliczenia!M170</f>
        <v>333189.4408453466</v>
      </c>
      <c r="O170" s="19">
        <f ca="1">O169*(1+Zalozenia!$K28)</f>
        <v>15.02009211873521</v>
      </c>
      <c r="P170" s="19">
        <f ca="1">Zalozenia!$M406*Obliczenia!O170</f>
        <v>2732349.4167917934</v>
      </c>
      <c r="Q170" s="20">
        <f t="shared" si="88"/>
        <v>-2399159.9759464469</v>
      </c>
      <c r="S170" s="12"/>
      <c r="T170" s="13">
        <f t="shared" si="83"/>
        <v>2033</v>
      </c>
      <c r="U170" s="73">
        <f ca="1">Zalozenia!$N406*Zalozenia!$E476*Zalozenia!$C$496/Zalozenia!$F$507</f>
        <v>90501.270762240019</v>
      </c>
      <c r="V170" s="19">
        <f ca="1">Zalozenia!$N406*Zalozenia!$E476*Zalozenia!$D$496/Zalozenia!$G$507</f>
        <v>2619.7736273280002</v>
      </c>
      <c r="W170" s="19">
        <f ca="1">U170*Zalozenia!$C618+Zalozenia!$D618*Obliczenia!V170</f>
        <v>198123.11509776107</v>
      </c>
      <c r="X170" s="19">
        <f ca="1">X169*(1+Zalozenia!$K28)</f>
        <v>12.567832180982524</v>
      </c>
      <c r="Y170" s="19">
        <f ca="1">Zalozenia!$N406*Obliczenia!X170</f>
        <v>1421258.5383934281</v>
      </c>
      <c r="Z170" s="20">
        <f t="shared" si="89"/>
        <v>-1223135.4232956669</v>
      </c>
      <c r="AB170" s="12"/>
      <c r="AC170" s="13">
        <f t="shared" si="84"/>
        <v>2033</v>
      </c>
      <c r="AD170" s="73">
        <f ca="1">Zalozenia!$O406*Zalozenia!$F476*Zalozenia!$C$496/Zalozenia!$F$507</f>
        <v>89702.792119767284</v>
      </c>
      <c r="AE170" s="19">
        <f ca="1">Zalozenia!$O406*Zalozenia!$F476*Zalozenia!$D$496/Zalozenia!$G$507</f>
        <v>2596.6597718879998</v>
      </c>
      <c r="AF170" s="19">
        <f ca="1">AD170*Zalozenia!$C618+Zalozenia!$D618*Obliczenia!AE170</f>
        <v>196375.10565376841</v>
      </c>
      <c r="AG170" s="19">
        <f ca="1">AG169*(1+Zalozenia!$K28)</f>
        <v>12.567832180982524</v>
      </c>
      <c r="AH170" s="19">
        <f ca="1">Zalozenia!$O406*Obliczenia!AG170</f>
        <v>1511795.9949133368</v>
      </c>
      <c r="AI170" s="20">
        <f t="shared" si="90"/>
        <v>-1315420.8892595684</v>
      </c>
      <c r="AK170" s="12"/>
      <c r="AL170" s="13">
        <f t="shared" si="85"/>
        <v>2033</v>
      </c>
      <c r="AM170" s="73">
        <f ca="1">Zalozenia!$P406*Zalozenia!$G476*Zalozenia!$C$496/Zalozenia!$F$507</f>
        <v>116443.26539266911</v>
      </c>
      <c r="AN170" s="19">
        <f ca="1">Zalozenia!$P406*Zalozenia!$G476*Zalozenia!$D$496/Zalozenia!$G$507</f>
        <v>3370.726103472</v>
      </c>
      <c r="AO170" s="19">
        <f ca="1">AM170*Zalozenia!$C618+Zalozenia!$D618*Obliczenia!AN170</f>
        <v>254914.6799536045</v>
      </c>
      <c r="AP170" s="19">
        <f ca="1">AP169*(1+Zalozenia!$K28)</f>
        <v>16.246222087611553</v>
      </c>
      <c r="AQ170" s="19">
        <f ca="1">Zalozenia!$P406*Obliczenia!AP170</f>
        <v>1840895.0364660812</v>
      </c>
      <c r="AR170" s="20">
        <f t="shared" si="91"/>
        <v>-1585980.3565124767</v>
      </c>
      <c r="AT170" s="12"/>
      <c r="AU170" s="13">
        <f t="shared" si="86"/>
        <v>2033</v>
      </c>
      <c r="AV170" s="73">
        <f ca="1">Zalozenia!$Q406*Zalozenia!$H476*Zalozenia!$C$496/Zalozenia!$F$507</f>
        <v>0</v>
      </c>
      <c r="AW170" s="19">
        <f ca="1">Zalozenia!$Q406*Zalozenia!$H476*Zalozenia!$D$496/Zalozenia!$G$507</f>
        <v>0</v>
      </c>
      <c r="AX170" s="19">
        <f ca="1">AV170*Zalozenia!$C618+Zalozenia!$D618*Obliczenia!AW170</f>
        <v>0</v>
      </c>
      <c r="AY170" s="19">
        <f ca="1">AY169*(1+Zalozenia!$K28)</f>
        <v>6.7437148288198898</v>
      </c>
      <c r="AZ170" s="19">
        <f ca="1">Zalozenia!$Q406*Obliczenia!AY170</f>
        <v>0</v>
      </c>
      <c r="BA170" s="20">
        <f t="shared" si="92"/>
        <v>0</v>
      </c>
      <c r="BC170" s="23">
        <f t="shared" si="93"/>
        <v>-741200.35032730806</v>
      </c>
      <c r="BD170" s="23">
        <f t="shared" si="94"/>
        <v>-2399159.9759464469</v>
      </c>
      <c r="BE170" s="23">
        <f t="shared" si="95"/>
        <v>-1223135.4232956669</v>
      </c>
      <c r="BF170" s="23">
        <f t="shared" si="96"/>
        <v>-1315420.8892595684</v>
      </c>
      <c r="BG170" s="23">
        <f t="shared" si="97"/>
        <v>-1585980.3565124767</v>
      </c>
      <c r="BH170" s="23">
        <f t="shared" si="98"/>
        <v>0</v>
      </c>
    </row>
    <row r="171" spans="1:60" s="4" customFormat="1">
      <c r="A171" s="12"/>
      <c r="B171" s="13">
        <f t="shared" si="81"/>
        <v>2034</v>
      </c>
      <c r="C171" s="73">
        <f ca="1">Zalozenia!$L407*Zalozenia!$C477*Zalozenia!$C$496/Zalozenia!$F$507</f>
        <v>52001.555340043633</v>
      </c>
      <c r="D171" s="19">
        <f ca="1">Zalozenia!$L407*Zalozenia!$C477*Zalozenia!$D$496/Zalozenia!$G$507</f>
        <v>1505.3081808959998</v>
      </c>
      <c r="E171" s="19">
        <f ca="1">C171*Zalozenia!$C619+Zalozenia!$D619*Obliczenia!D171</f>
        <v>116686.51498815847</v>
      </c>
      <c r="F171" s="19">
        <f ca="1">F170*(1+Zalozenia!$K29)</f>
        <v>16.912317193203627</v>
      </c>
      <c r="G171" s="19">
        <f ca="1">Zalozenia!$L407*Obliczenia!F171</f>
        <v>895439.81670843426</v>
      </c>
      <c r="H171" s="20">
        <f t="shared" si="87"/>
        <v>-778753.30172027578</v>
      </c>
      <c r="I171"/>
      <c r="J171" s="12"/>
      <c r="K171" s="13">
        <f t="shared" si="82"/>
        <v>2034</v>
      </c>
      <c r="L171" s="73">
        <f ca="1">Zalozenia!$M407*Zalozenia!$D477*Zalozenia!$C$496/Zalozenia!$F$507</f>
        <v>153078.39651141816</v>
      </c>
      <c r="M171" s="19">
        <f ca="1">Zalozenia!$M407*Zalozenia!$D477*Zalozenia!$D$496/Zalozenia!$G$507</f>
        <v>4431.2167411199989</v>
      </c>
      <c r="N171" s="19">
        <f ca="1">L171*Zalozenia!$C619+Zalozenia!$D619*Obliczenia!M171</f>
        <v>343493.27615472575</v>
      </c>
      <c r="O171" s="19">
        <f ca="1">O170*(1+Zalozenia!$K29)</f>
        <v>15.635915895603352</v>
      </c>
      <c r="P171" s="19">
        <f ca="1">Zalozenia!$M407*Obliczenia!O171</f>
        <v>2860817.2211628011</v>
      </c>
      <c r="Q171" s="20">
        <f t="shared" si="88"/>
        <v>-2517323.9450080753</v>
      </c>
      <c r="S171" s="12"/>
      <c r="T171" s="13">
        <f t="shared" si="83"/>
        <v>2034</v>
      </c>
      <c r="U171" s="73">
        <f ca="1">Zalozenia!$N407*Zalozenia!$E477*Zalozenia!$C$496/Zalozenia!$F$507</f>
        <v>90964.10149632</v>
      </c>
      <c r="V171" s="19">
        <f ca="1">Zalozenia!$N407*Zalozenia!$E477*Zalozenia!$D$496/Zalozenia!$G$507</f>
        <v>2633.1713591039997</v>
      </c>
      <c r="W171" s="19">
        <f ca="1">U171*Zalozenia!$C619+Zalozenia!$D619*Obliczenia!V171</f>
        <v>204114.74086162986</v>
      </c>
      <c r="X171" s="19">
        <f ca="1">X170*(1+Zalozenia!$K29)</f>
        <v>13.083113300402808</v>
      </c>
      <c r="Y171" s="19">
        <f ca="1">Zalozenia!$N407*Obliczenia!X171</f>
        <v>1487096.5738812604</v>
      </c>
      <c r="Z171" s="20">
        <f t="shared" si="89"/>
        <v>-1282981.8330196305</v>
      </c>
      <c r="AB171" s="12"/>
      <c r="AC171" s="13">
        <f t="shared" si="84"/>
        <v>2034</v>
      </c>
      <c r="AD171" s="73">
        <f ca="1">Zalozenia!$O407*Zalozenia!$F477*Zalozenia!$C$496/Zalozenia!$F$507</f>
        <v>90225.795179520006</v>
      </c>
      <c r="AE171" s="19">
        <f ca="1">Zalozenia!$O407*Zalozenia!$F477*Zalozenia!$D$496/Zalozenia!$G$507</f>
        <v>2611.7993341440001</v>
      </c>
      <c r="AF171" s="19">
        <f ca="1">AD171*Zalozenia!$C619+Zalozenia!$D619*Obliczenia!AE171</f>
        <v>202458.05212342218</v>
      </c>
      <c r="AG171" s="19">
        <f ca="1">AG170*(1+Zalozenia!$K29)</f>
        <v>13.083113300402808</v>
      </c>
      <c r="AH171" s="19">
        <f ca="1">Zalozenia!$O407*Obliczenia!AG171</f>
        <v>1582955.3937193414</v>
      </c>
      <c r="AI171" s="20">
        <f t="shared" si="90"/>
        <v>-1380497.3415959191</v>
      </c>
      <c r="AK171" s="12"/>
      <c r="AL171" s="13">
        <f t="shared" si="85"/>
        <v>2034</v>
      </c>
      <c r="AM171" s="73">
        <f ca="1">Zalozenia!$P407*Zalozenia!$G477*Zalozenia!$C$496/Zalozenia!$F$507</f>
        <v>117041.65977560729</v>
      </c>
      <c r="AN171" s="19">
        <f ca="1">Zalozenia!$P407*Zalozenia!$G477*Zalozenia!$D$496/Zalozenia!$G$507</f>
        <v>3388.0480461359998</v>
      </c>
      <c r="AO171" s="19">
        <f ca="1">AM171*Zalozenia!$C619+Zalozenia!$D619*Obliczenia!AN171</f>
        <v>262630.28669699561</v>
      </c>
      <c r="AP171" s="19">
        <f ca="1">AP170*(1+Zalozenia!$K29)</f>
        <v>16.912317193203627</v>
      </c>
      <c r="AQ171" s="19">
        <f ca="1">Zalozenia!$P407*Obliczenia!AP171</f>
        <v>1926219.8429120618</v>
      </c>
      <c r="AR171" s="20">
        <f t="shared" si="91"/>
        <v>-1663589.5562150662</v>
      </c>
      <c r="AT171" s="12"/>
      <c r="AU171" s="13">
        <f t="shared" si="86"/>
        <v>2034</v>
      </c>
      <c r="AV171" s="73">
        <f ca="1">Zalozenia!$Q407*Zalozenia!$H477*Zalozenia!$C$496/Zalozenia!$F$507</f>
        <v>0</v>
      </c>
      <c r="AW171" s="19">
        <f ca="1">Zalozenia!$Q407*Zalozenia!$H477*Zalozenia!$D$496/Zalozenia!$G$507</f>
        <v>0</v>
      </c>
      <c r="AX171" s="19">
        <f ca="1">AV171*Zalozenia!$C619+Zalozenia!$D619*Obliczenia!AW171</f>
        <v>0</v>
      </c>
      <c r="AY171" s="19">
        <f ca="1">AY170*(1+Zalozenia!$K29)</f>
        <v>7.0202071368015044</v>
      </c>
      <c r="AZ171" s="19">
        <f ca="1">Zalozenia!$Q407*Obliczenia!AY171</f>
        <v>0</v>
      </c>
      <c r="BA171" s="20">
        <f t="shared" si="92"/>
        <v>0</v>
      </c>
      <c r="BC171" s="23">
        <f t="shared" si="93"/>
        <v>-778753.30172027578</v>
      </c>
      <c r="BD171" s="23">
        <f t="shared" si="94"/>
        <v>-2517323.9450080753</v>
      </c>
      <c r="BE171" s="23">
        <f t="shared" si="95"/>
        <v>-1282981.8330196305</v>
      </c>
      <c r="BF171" s="23">
        <f t="shared" si="96"/>
        <v>-1380497.3415959191</v>
      </c>
      <c r="BG171" s="23">
        <f t="shared" si="97"/>
        <v>-1663589.5562150662</v>
      </c>
      <c r="BH171" s="23">
        <f t="shared" si="98"/>
        <v>0</v>
      </c>
    </row>
    <row r="172" spans="1:60" s="4" customFormat="1">
      <c r="A172" s="12"/>
      <c r="B172" s="13">
        <f t="shared" si="81"/>
        <v>2035</v>
      </c>
      <c r="C172" s="73">
        <f ca="1">Zalozenia!$L408*Zalozenia!$C478*Zalozenia!$C$496/Zalozenia!$F$507</f>
        <v>52359.125100218189</v>
      </c>
      <c r="D172" s="19">
        <f ca="1">Zalozenia!$L408*Zalozenia!$C478*Zalozenia!$D$496/Zalozenia!$G$507</f>
        <v>1515.6588844799999</v>
      </c>
      <c r="E172" s="19">
        <f ca="1">C172*Zalozenia!$C620+Zalozenia!$D620*Obliczenia!D172</f>
        <v>120426.08900287087</v>
      </c>
      <c r="F172" s="19">
        <f ca="1">F171*(1+Zalozenia!$K30)</f>
        <v>17.605722198124976</v>
      </c>
      <c r="G172" s="19">
        <f ca="1">Zalozenia!$L408*Obliczenia!F172</f>
        <v>938562.45883981837</v>
      </c>
      <c r="H172" s="20">
        <f t="shared" si="87"/>
        <v>-818136.36983694753</v>
      </c>
      <c r="I172"/>
      <c r="J172" s="12"/>
      <c r="K172" s="13">
        <f t="shared" si="82"/>
        <v>2035</v>
      </c>
      <c r="L172" s="73">
        <f ca="1">Zalozenia!$M408*Zalozenia!$D478*Zalozenia!$C$496/Zalozenia!$F$507</f>
        <v>153958.1574109091</v>
      </c>
      <c r="M172" s="19">
        <f ca="1">Zalozenia!$M408*Zalozenia!$D478*Zalozenia!$D$496/Zalozenia!$G$507</f>
        <v>4456.6835039999996</v>
      </c>
      <c r="N172" s="19">
        <f ca="1">L172*Zalozenia!$C620+Zalozenia!$D620*Obliczenia!M172</f>
        <v>354104.05982904555</v>
      </c>
      <c r="O172" s="19">
        <f ca="1">O171*(1+Zalozenia!$K30)</f>
        <v>16.276988447323088</v>
      </c>
      <c r="P172" s="19">
        <f ca="1">Zalozenia!$M408*Obliczenia!O172</f>
        <v>2995226.3061226052</v>
      </c>
      <c r="Q172" s="20">
        <f t="shared" si="88"/>
        <v>-2641122.2462935597</v>
      </c>
      <c r="S172" s="12"/>
      <c r="T172" s="13">
        <f t="shared" si="83"/>
        <v>2035</v>
      </c>
      <c r="U172" s="73">
        <f ca="1">Zalozenia!$N408*Zalozenia!$E478*Zalozenia!$C$496/Zalozenia!$F$507</f>
        <v>91426.932230400009</v>
      </c>
      <c r="V172" s="19">
        <f ca="1">Zalozenia!$N408*Zalozenia!$E478*Zalozenia!$D$496/Zalozenia!$G$507</f>
        <v>2646.5690908799997</v>
      </c>
      <c r="W172" s="19">
        <f ca="1">U172*Zalozenia!$C620+Zalozenia!$D620*Obliczenia!V172</f>
        <v>210282.12096675608</v>
      </c>
      <c r="X172" s="19">
        <f ca="1">X171*(1+Zalozenia!$K30)</f>
        <v>13.619520945719321</v>
      </c>
      <c r="Y172" s="19">
        <f ca="1">Zalozenia!$N408*Obliczenia!X172</f>
        <v>1555944.1926760555</v>
      </c>
      <c r="Z172" s="20">
        <f t="shared" si="89"/>
        <v>-1345662.0717092995</v>
      </c>
      <c r="AB172" s="12"/>
      <c r="AC172" s="13">
        <f t="shared" si="84"/>
        <v>2035</v>
      </c>
      <c r="AD172" s="73">
        <f ca="1">Zalozenia!$O408*Zalozenia!$F478*Zalozenia!$C$496/Zalozenia!$F$507</f>
        <v>90748.798239272728</v>
      </c>
      <c r="AE172" s="19">
        <f ca="1">Zalozenia!$O408*Zalozenia!$F478*Zalozenia!$D$496/Zalozenia!$G$507</f>
        <v>2626.9388963999995</v>
      </c>
      <c r="AF172" s="19">
        <f ca="1">AD172*Zalozenia!$C620+Zalozenia!$D620*Obliczenia!AE172</f>
        <v>208722.411475525</v>
      </c>
      <c r="AG172" s="19">
        <f ca="1">AG171*(1+Zalozenia!$K30)</f>
        <v>13.619520945719321</v>
      </c>
      <c r="AH172" s="19">
        <f ca="1">Zalozenia!$O408*Obliczenia!AG172</f>
        <v>1657408.5341599886</v>
      </c>
      <c r="AI172" s="20">
        <f t="shared" si="90"/>
        <v>-1448686.1226844636</v>
      </c>
      <c r="AK172" s="12"/>
      <c r="AL172" s="13">
        <f t="shared" si="85"/>
        <v>2035</v>
      </c>
      <c r="AM172" s="73">
        <f ca="1">Zalozenia!$P408*Zalozenia!$G478*Zalozenia!$C$496/Zalozenia!$F$507</f>
        <v>117640.05415854546</v>
      </c>
      <c r="AN172" s="19">
        <f ca="1">Zalozenia!$P408*Zalozenia!$G478*Zalozenia!$D$496/Zalozenia!$G$507</f>
        <v>3405.3699887999996</v>
      </c>
      <c r="AO172" s="19">
        <f ca="1">AM172*Zalozenia!$C620+Zalozenia!$D620*Obliczenia!AN172</f>
        <v>270572.35210258525</v>
      </c>
      <c r="AP172" s="19">
        <f ca="1">AP171*(1+Zalozenia!$K30)</f>
        <v>17.605722198124976</v>
      </c>
      <c r="AQ172" s="19">
        <f ca="1">Zalozenia!$P408*Obliczenia!AP172</f>
        <v>2015446.7389303134</v>
      </c>
      <c r="AR172" s="20">
        <f t="shared" si="91"/>
        <v>-1744874.3868277282</v>
      </c>
      <c r="AT172" s="12"/>
      <c r="AU172" s="13">
        <f t="shared" si="86"/>
        <v>2035</v>
      </c>
      <c r="AV172" s="73">
        <f ca="1">Zalozenia!$Q408*Zalozenia!$H478*Zalozenia!$C$496/Zalozenia!$F$507</f>
        <v>0</v>
      </c>
      <c r="AW172" s="19">
        <f ca="1">Zalozenia!$Q408*Zalozenia!$H478*Zalozenia!$D$496/Zalozenia!$G$507</f>
        <v>0</v>
      </c>
      <c r="AX172" s="19">
        <f ca="1">AV172*Zalozenia!$C620+Zalozenia!$D620*Obliczenia!AW172</f>
        <v>0</v>
      </c>
      <c r="AY172" s="19">
        <f ca="1">AY171*(1+Zalozenia!$K30)</f>
        <v>7.3080356294103659</v>
      </c>
      <c r="AZ172" s="19">
        <f ca="1">Zalozenia!$Q408*Obliczenia!AY172</f>
        <v>0</v>
      </c>
      <c r="BA172" s="20">
        <f t="shared" si="92"/>
        <v>0</v>
      </c>
      <c r="BC172" s="23">
        <f t="shared" si="93"/>
        <v>-818136.36983694753</v>
      </c>
      <c r="BD172" s="23">
        <f t="shared" si="94"/>
        <v>-2641122.2462935597</v>
      </c>
      <c r="BE172" s="23">
        <f t="shared" si="95"/>
        <v>-1345662.0717092995</v>
      </c>
      <c r="BF172" s="23">
        <f t="shared" si="96"/>
        <v>-1448686.1226844636</v>
      </c>
      <c r="BG172" s="23">
        <f t="shared" si="97"/>
        <v>-1744874.3868277282</v>
      </c>
      <c r="BH172" s="23">
        <f t="shared" si="98"/>
        <v>0</v>
      </c>
    </row>
    <row r="173" spans="1:60" s="4" customFormat="1">
      <c r="A173" s="12"/>
      <c r="B173" s="13">
        <f t="shared" si="81"/>
        <v>2036</v>
      </c>
      <c r="C173" s="73">
        <f ca="1">Zalozenia!$L409*Zalozenia!$C479*Zalozenia!$C$496/Zalozenia!$F$507</f>
        <v>52716.69486039273</v>
      </c>
      <c r="D173" s="19">
        <f ca="1">Zalozenia!$L409*Zalozenia!$C479*Zalozenia!$D$496/Zalozenia!$G$507</f>
        <v>1526.0095880639999</v>
      </c>
      <c r="E173" s="19">
        <f ca="1">C173*Zalozenia!$C621+Zalozenia!$D621*Obliczenia!D173</f>
        <v>124279.7126464513</v>
      </c>
      <c r="F173" s="19">
        <f ca="1">F172*(1+Zalozenia!$K31)</f>
        <v>18.327556808248097</v>
      </c>
      <c r="G173" s="19">
        <f ca="1">Zalozenia!$L409*Obliczenia!F173</f>
        <v>983715.9232940888</v>
      </c>
      <c r="H173" s="20">
        <f t="shared" si="87"/>
        <v>-859436.21064763749</v>
      </c>
      <c r="I173"/>
      <c r="J173" s="12"/>
      <c r="K173" s="13">
        <f t="shared" si="82"/>
        <v>2036</v>
      </c>
      <c r="L173" s="73">
        <f ca="1">Zalozenia!$M409*Zalozenia!$D479*Zalozenia!$C$496/Zalozenia!$F$507</f>
        <v>154837.91831040001</v>
      </c>
      <c r="M173" s="19">
        <f ca="1">Zalozenia!$M409*Zalozenia!$D479*Zalozenia!$D$496/Zalozenia!$G$507</f>
        <v>4482.1502668799994</v>
      </c>
      <c r="N173" s="19">
        <f ca="1">L173*Zalozenia!$C621+Zalozenia!$D621*Obliczenia!M173</f>
        <v>365030.69938948471</v>
      </c>
      <c r="O173" s="19">
        <f ca="1">O172*(1+Zalozenia!$K31)</f>
        <v>16.944344973663334</v>
      </c>
      <c r="P173" s="19">
        <f ca="1">Zalozenia!$M409*Obliczenia!O173</f>
        <v>3135847.9023003383</v>
      </c>
      <c r="Q173" s="20">
        <f t="shared" si="88"/>
        <v>-2770817.2029108535</v>
      </c>
      <c r="S173" s="12"/>
      <c r="T173" s="13">
        <f t="shared" si="83"/>
        <v>2036</v>
      </c>
      <c r="U173" s="73">
        <f ca="1">Zalozenia!$N409*Zalozenia!$E479*Zalozenia!$C$496/Zalozenia!$F$507</f>
        <v>91889.762964480004</v>
      </c>
      <c r="V173" s="19">
        <f ca="1">Zalozenia!$N409*Zalozenia!$E479*Zalozenia!$D$496/Zalozenia!$G$507</f>
        <v>2659.9668226559997</v>
      </c>
      <c r="W173" s="19">
        <f ca="1">U173*Zalozenia!$C621+Zalozenia!$D621*Obliczenia!V173</f>
        <v>216630.29836410005</v>
      </c>
      <c r="X173" s="19">
        <f ca="1">X172*(1+Zalozenia!$K31)</f>
        <v>14.177921304493813</v>
      </c>
      <c r="Y173" s="19">
        <f ca="1">Zalozenia!$N409*Obliczenia!X173</f>
        <v>1627937.5068713294</v>
      </c>
      <c r="Z173" s="20">
        <f t="shared" si="89"/>
        <v>-1411307.2085072293</v>
      </c>
      <c r="AB173" s="12"/>
      <c r="AC173" s="13">
        <f t="shared" si="84"/>
        <v>2036</v>
      </c>
      <c r="AD173" s="73">
        <f ca="1">Zalozenia!$O409*Zalozenia!$F479*Zalozenia!$C$496/Zalozenia!$F$507</f>
        <v>91271.801299025465</v>
      </c>
      <c r="AE173" s="19">
        <f ca="1">Zalozenia!$O409*Zalozenia!$F479*Zalozenia!$D$496/Zalozenia!$G$507</f>
        <v>2642.0784586559998</v>
      </c>
      <c r="AF173" s="19">
        <f ca="1">AD173*Zalozenia!$C621+Zalozenia!$D621*Obliczenia!AE173</f>
        <v>215173.45251265587</v>
      </c>
      <c r="AG173" s="19">
        <f ca="1">AG172*(1+Zalozenia!$K31)</f>
        <v>14.177921304493813</v>
      </c>
      <c r="AH173" s="19">
        <f ca="1">Zalozenia!$O409*Obliczenia!AG173</f>
        <v>1735305.884099927</v>
      </c>
      <c r="AI173" s="20">
        <f t="shared" si="90"/>
        <v>-1520132.4315872712</v>
      </c>
      <c r="AK173" s="12"/>
      <c r="AL173" s="13">
        <f t="shared" si="85"/>
        <v>2036</v>
      </c>
      <c r="AM173" s="73">
        <f ca="1">Zalozenia!$P409*Zalozenia!$G479*Zalozenia!$C$496/Zalozenia!$F$507</f>
        <v>118238.44854148364</v>
      </c>
      <c r="AN173" s="19">
        <f ca="1">Zalozenia!$P409*Zalozenia!$G479*Zalozenia!$D$496/Zalozenia!$G$507</f>
        <v>3422.6919314639999</v>
      </c>
      <c r="AO173" s="19">
        <f ca="1">AM173*Zalozenia!$C621+Zalozenia!$D621*Obliczenia!AN173</f>
        <v>278747.3768492688</v>
      </c>
      <c r="AP173" s="19">
        <f ca="1">AP172*(1+Zalozenia!$K31)</f>
        <v>18.327556808248097</v>
      </c>
      <c r="AQ173" s="19">
        <f ca="1">Zalozenia!$P409*Obliczenia!AP173</f>
        <v>2108752.2648661258</v>
      </c>
      <c r="AR173" s="20">
        <f t="shared" si="91"/>
        <v>-1830004.888016857</v>
      </c>
      <c r="AT173" s="12"/>
      <c r="AU173" s="13">
        <f t="shared" si="86"/>
        <v>2036</v>
      </c>
      <c r="AV173" s="73">
        <f ca="1">Zalozenia!$Q409*Zalozenia!$H479*Zalozenia!$C$496/Zalozenia!$F$507</f>
        <v>0</v>
      </c>
      <c r="AW173" s="19">
        <f ca="1">Zalozenia!$Q409*Zalozenia!$H479*Zalozenia!$D$496/Zalozenia!$G$507</f>
        <v>0</v>
      </c>
      <c r="AX173" s="19">
        <f ca="1">AV173*Zalozenia!$C621+Zalozenia!$D621*Obliczenia!AW173</f>
        <v>0</v>
      </c>
      <c r="AY173" s="19">
        <f ca="1">AY172*(1+Zalozenia!$K31)</f>
        <v>7.60766509021619</v>
      </c>
      <c r="AZ173" s="19">
        <f ca="1">Zalozenia!$Q409*Obliczenia!AY173</f>
        <v>0</v>
      </c>
      <c r="BA173" s="20">
        <f t="shared" si="92"/>
        <v>0</v>
      </c>
      <c r="BC173" s="23">
        <f t="shared" si="93"/>
        <v>-859436.21064763749</v>
      </c>
      <c r="BD173" s="23">
        <f t="shared" si="94"/>
        <v>-2770817.2029108535</v>
      </c>
      <c r="BE173" s="23">
        <f t="shared" si="95"/>
        <v>-1411307.2085072293</v>
      </c>
      <c r="BF173" s="23">
        <f t="shared" si="96"/>
        <v>-1520132.4315872712</v>
      </c>
      <c r="BG173" s="23">
        <f t="shared" si="97"/>
        <v>-1830004.888016857</v>
      </c>
      <c r="BH173" s="23">
        <f t="shared" si="98"/>
        <v>0</v>
      </c>
    </row>
    <row r="174" spans="1:60" s="4" customFormat="1">
      <c r="A174" s="12"/>
      <c r="B174" s="13">
        <f t="shared" si="81"/>
        <v>2037</v>
      </c>
      <c r="C174" s="73">
        <f ca="1">Zalozenia!$L410*Zalozenia!$C480*Zalozenia!$C$496/Zalozenia!$F$507</f>
        <v>53074.264620567279</v>
      </c>
      <c r="D174" s="19">
        <f ca="1">Zalozenia!$L410*Zalozenia!$C480*Zalozenia!$D$496/Zalozenia!$G$507</f>
        <v>1536.3602916480002</v>
      </c>
      <c r="E174" s="19">
        <f ca="1">C174*Zalozenia!$C622+Zalozenia!$D622*Obliczenia!D174</f>
        <v>128250.75116658394</v>
      </c>
      <c r="F174" s="19">
        <f ca="1">F173*(1+Zalozenia!$K32)</f>
        <v>19.078986637386269</v>
      </c>
      <c r="G174" s="19">
        <f ca="1">Zalozenia!$L410*Obliczenia!F174</f>
        <v>1030994.2483402997</v>
      </c>
      <c r="H174" s="20">
        <f t="shared" si="87"/>
        <v>-902743.49717371573</v>
      </c>
      <c r="I174"/>
      <c r="J174" s="12"/>
      <c r="K174" s="13">
        <f t="shared" si="82"/>
        <v>2037</v>
      </c>
      <c r="L174" s="73">
        <f ca="1">Zalozenia!$M410*Zalozenia!$D480*Zalozenia!$C$496/Zalozenia!$F$507</f>
        <v>155717.67920989089</v>
      </c>
      <c r="M174" s="19">
        <f ca="1">Zalozenia!$M410*Zalozenia!$D480*Zalozenia!$D$496/Zalozenia!$G$507</f>
        <v>4507.6170297599992</v>
      </c>
      <c r="N174" s="19">
        <f ca="1">L174*Zalozenia!$C622+Zalozenia!$D622*Obliczenia!M174</f>
        <v>376282.35589055257</v>
      </c>
      <c r="O174" s="19">
        <f ca="1">O173*(1+Zalozenia!$K32)</f>
        <v>17.639063117583529</v>
      </c>
      <c r="P174" s="19">
        <f ca="1">Zalozenia!$M410*Obliczenia!O174</f>
        <v>3282965.4939440531</v>
      </c>
      <c r="Q174" s="20">
        <f t="shared" si="88"/>
        <v>-2906683.1380535006</v>
      </c>
      <c r="S174" s="12"/>
      <c r="T174" s="13">
        <f t="shared" si="83"/>
        <v>2037</v>
      </c>
      <c r="U174" s="73">
        <f ca="1">Zalozenia!$N410*Zalozenia!$E480*Zalozenia!$C$496/Zalozenia!$F$507</f>
        <v>92352.593698560027</v>
      </c>
      <c r="V174" s="19">
        <f ca="1">Zalozenia!$N410*Zalozenia!$E480*Zalozenia!$D$496/Zalozenia!$G$507</f>
        <v>2673.3645544320002</v>
      </c>
      <c r="W174" s="19">
        <f ca="1">U174*Zalozenia!$C622+Zalozenia!$D622*Obliczenia!V174</f>
        <v>223164.45830570708</v>
      </c>
      <c r="X174" s="19">
        <f ca="1">X173*(1+Zalozenia!$K32)</f>
        <v>14.759216077978058</v>
      </c>
      <c r="Y174" s="19">
        <f ca="1">Zalozenia!$N410*Obliczenia!X174</f>
        <v>1703218.7306427273</v>
      </c>
      <c r="Z174" s="20">
        <f t="shared" si="89"/>
        <v>-1480054.2723370204</v>
      </c>
      <c r="AB174" s="12"/>
      <c r="AC174" s="13">
        <f t="shared" si="84"/>
        <v>2037</v>
      </c>
      <c r="AD174" s="73">
        <f ca="1">Zalozenia!$O410*Zalozenia!$F480*Zalozenia!$C$496/Zalozenia!$F$507</f>
        <v>91794.804358778187</v>
      </c>
      <c r="AE174" s="19">
        <f ca="1">Zalozenia!$O410*Zalozenia!$F480*Zalozenia!$D$496/Zalozenia!$G$507</f>
        <v>2657.2180209120002</v>
      </c>
      <c r="AF174" s="19">
        <f ca="1">AD174*Zalozenia!$C622+Zalozenia!$D622*Obliczenia!AE174</f>
        <v>221816.59409447102</v>
      </c>
      <c r="AG174" s="19">
        <f ca="1">AG173*(1+Zalozenia!$K32)</f>
        <v>14.759216077978058</v>
      </c>
      <c r="AH174" s="19">
        <f ca="1">Zalozenia!$O410*Obliczenia!AG174</f>
        <v>1816804.7129890176</v>
      </c>
      <c r="AI174" s="20">
        <f t="shared" si="90"/>
        <v>-1594988.1188945465</v>
      </c>
      <c r="AK174" s="12"/>
      <c r="AL174" s="13">
        <f t="shared" si="85"/>
        <v>2037</v>
      </c>
      <c r="AM174" s="73">
        <f ca="1">Zalozenia!$P410*Zalozenia!$G480*Zalozenia!$C$496/Zalozenia!$F$507</f>
        <v>118836.84292442183</v>
      </c>
      <c r="AN174" s="19">
        <f ca="1">Zalozenia!$P410*Zalozenia!$G480*Zalozenia!$D$496/Zalozenia!$G$507</f>
        <v>3440.0138741280002</v>
      </c>
      <c r="AO174" s="19">
        <f ca="1">AM174*Zalozenia!$C622+Zalozenia!$D622*Obliczenia!AN174</f>
        <v>287162.04511322238</v>
      </c>
      <c r="AP174" s="19">
        <f ca="1">AP173*(1+Zalozenia!$K32)</f>
        <v>19.078986637386269</v>
      </c>
      <c r="AQ174" s="19">
        <f ca="1">Zalozenia!$P410*Obliczenia!AP174</f>
        <v>2206320.8779605334</v>
      </c>
      <c r="AR174" s="20">
        <f t="shared" si="91"/>
        <v>-1919158.8328473109</v>
      </c>
      <c r="AT174" s="12"/>
      <c r="AU174" s="13">
        <f t="shared" si="86"/>
        <v>2037</v>
      </c>
      <c r="AV174" s="73">
        <f ca="1">Zalozenia!$Q410*Zalozenia!$H480*Zalozenia!$C$496/Zalozenia!$F$507</f>
        <v>0</v>
      </c>
      <c r="AW174" s="19">
        <f ca="1">Zalozenia!$Q410*Zalozenia!$H480*Zalozenia!$D$496/Zalozenia!$G$507</f>
        <v>0</v>
      </c>
      <c r="AX174" s="19">
        <f ca="1">AV174*Zalozenia!$C622+Zalozenia!$D622*Obliczenia!AW174</f>
        <v>0</v>
      </c>
      <c r="AY174" s="19">
        <f ca="1">AY173*(1+Zalozenia!$K32)</f>
        <v>7.9195793589150529</v>
      </c>
      <c r="AZ174" s="19">
        <f ca="1">Zalozenia!$Q410*Obliczenia!AY174</f>
        <v>0</v>
      </c>
      <c r="BA174" s="20">
        <f t="shared" si="92"/>
        <v>0</v>
      </c>
      <c r="BC174" s="23">
        <f t="shared" si="93"/>
        <v>-902743.49717371573</v>
      </c>
      <c r="BD174" s="23">
        <f t="shared" si="94"/>
        <v>-2906683.1380535006</v>
      </c>
      <c r="BE174" s="23">
        <f t="shared" si="95"/>
        <v>-1480054.2723370204</v>
      </c>
      <c r="BF174" s="23">
        <f t="shared" si="96"/>
        <v>-1594988.1188945465</v>
      </c>
      <c r="BG174" s="23">
        <f t="shared" si="97"/>
        <v>-1919158.8328473109</v>
      </c>
      <c r="BH174" s="23">
        <f t="shared" si="98"/>
        <v>0</v>
      </c>
    </row>
    <row r="175" spans="1:60" s="4" customFormat="1">
      <c r="A175" s="12"/>
      <c r="B175" s="13">
        <f t="shared" si="81"/>
        <v>2038</v>
      </c>
      <c r="C175" s="73">
        <f ca="1">Zalozenia!$L411*Zalozenia!$C481*Zalozenia!$C$496/Zalozenia!$F$507</f>
        <v>53431.83438074182</v>
      </c>
      <c r="D175" s="19">
        <f ca="1">Zalozenia!$L411*Zalozenia!$C481*Zalozenia!$D$496/Zalozenia!$G$507</f>
        <v>1546.7109952319997</v>
      </c>
      <c r="E175" s="19">
        <f ca="1">C175*Zalozenia!$C623+Zalozenia!$D623*Obliczenia!D175</f>
        <v>132342.66679231919</v>
      </c>
      <c r="F175" s="19">
        <f ca="1">F174*(1+Zalozenia!$K33)</f>
        <v>19.861225089519102</v>
      </c>
      <c r="G175" s="19">
        <f ca="1">Zalozenia!$L411*Obliczenia!F175</f>
        <v>1080495.7695732424</v>
      </c>
      <c r="H175" s="20">
        <f t="shared" si="87"/>
        <v>-948153.10278092325</v>
      </c>
      <c r="I175"/>
      <c r="J175" s="12"/>
      <c r="K175" s="13">
        <f t="shared" si="82"/>
        <v>2038</v>
      </c>
      <c r="L175" s="73">
        <f ca="1">Zalozenia!$M411*Zalozenia!$D481*Zalozenia!$C$496/Zalozenia!$F$507</f>
        <v>156597.44010938183</v>
      </c>
      <c r="M175" s="19">
        <f ca="1">Zalozenia!$M411*Zalozenia!$D481*Zalozenia!$D$496/Zalozenia!$G$507</f>
        <v>4533.08379264</v>
      </c>
      <c r="N175" s="19">
        <f ca="1">L175*Zalozenia!$C623+Zalozenia!$D623*Obliczenia!M175</f>
        <v>387868.45102955546</v>
      </c>
      <c r="O175" s="19">
        <f ca="1">O174*(1+Zalozenia!$K33)</f>
        <v>18.362264705404453</v>
      </c>
      <c r="P175" s="19">
        <f ca="1">Zalozenia!$M411*Obliczenia!O175</f>
        <v>3436875.3677787865</v>
      </c>
      <c r="Q175" s="20">
        <f t="shared" si="88"/>
        <v>-3049006.9167492311</v>
      </c>
      <c r="S175" s="12"/>
      <c r="T175" s="13">
        <f t="shared" si="83"/>
        <v>2038</v>
      </c>
      <c r="U175" s="73">
        <f ca="1">Zalozenia!$N411*Zalozenia!$E481*Zalozenia!$C$496/Zalozenia!$F$507</f>
        <v>92815.424432640008</v>
      </c>
      <c r="V175" s="19">
        <f ca="1">Zalozenia!$N411*Zalozenia!$E481*Zalozenia!$D$496/Zalozenia!$G$507</f>
        <v>2686.7622862079998</v>
      </c>
      <c r="W175" s="19">
        <f ca="1">U175*Zalozenia!$C623+Zalozenia!$D623*Obliczenia!V175</f>
        <v>229889.93230791675</v>
      </c>
      <c r="X175" s="19">
        <f ca="1">X174*(1+Zalozenia!$K33)</f>
        <v>15.364343937175157</v>
      </c>
      <c r="Y175" s="19">
        <f ca="1">Zalozenia!$N411*Obliczenia!X175</f>
        <v>1781936.451814329</v>
      </c>
      <c r="Z175" s="20">
        <f t="shared" si="89"/>
        <v>-1552046.5195064123</v>
      </c>
      <c r="AB175" s="12"/>
      <c r="AC175" s="13">
        <f t="shared" si="84"/>
        <v>2038</v>
      </c>
      <c r="AD175" s="73">
        <f ca="1">Zalozenia!$O411*Zalozenia!$F481*Zalozenia!$C$496/Zalozenia!$F$507</f>
        <v>92317.807418530923</v>
      </c>
      <c r="AE175" s="19">
        <f ca="1">Zalozenia!$O411*Zalozenia!$F481*Zalozenia!$D$496/Zalozenia!$G$507</f>
        <v>2672.357583168</v>
      </c>
      <c r="AF175" s="19">
        <f ca="1">AD175*Zalozenia!$C623+Zalozenia!$D623*Obliczenia!AE175</f>
        <v>228657.40934755656</v>
      </c>
      <c r="AG175" s="19">
        <f ca="1">AG174*(1+Zalozenia!$K33)</f>
        <v>15.364343937175157</v>
      </c>
      <c r="AH175" s="19">
        <f ca="1">Zalozenia!$O411*Obliczenia!AG175</f>
        <v>1902069.3966558413</v>
      </c>
      <c r="AI175" s="20">
        <f t="shared" si="90"/>
        <v>-1673411.9873082847</v>
      </c>
      <c r="AK175" s="12"/>
      <c r="AL175" s="13">
        <f t="shared" si="85"/>
        <v>2038</v>
      </c>
      <c r="AM175" s="73">
        <f ca="1">Zalozenia!$P411*Zalozenia!$G481*Zalozenia!$C$496/Zalozenia!$F$507</f>
        <v>119435.23730736</v>
      </c>
      <c r="AN175" s="19">
        <f ca="1">Zalozenia!$P411*Zalozenia!$G481*Zalozenia!$D$496/Zalozenia!$G$507</f>
        <v>3457.3358167919996</v>
      </c>
      <c r="AO175" s="19">
        <f ca="1">AM175*Zalozenia!$C623+Zalozenia!$D623*Obliczenia!AN175</f>
        <v>295823.22967984289</v>
      </c>
      <c r="AP175" s="19">
        <f ca="1">AP174*(1+Zalozenia!$K33)</f>
        <v>19.861225089519102</v>
      </c>
      <c r="AQ175" s="19">
        <f ca="1">Zalozenia!$P411*Obliczenia!AP175</f>
        <v>2308345.3047714424</v>
      </c>
      <c r="AR175" s="20">
        <f t="shared" si="91"/>
        <v>-2012522.0750915995</v>
      </c>
      <c r="AT175" s="12"/>
      <c r="AU175" s="13">
        <f t="shared" si="86"/>
        <v>2038</v>
      </c>
      <c r="AV175" s="73">
        <f ca="1">Zalozenia!$Q411*Zalozenia!$H481*Zalozenia!$C$496/Zalozenia!$F$507</f>
        <v>0</v>
      </c>
      <c r="AW175" s="19">
        <f ca="1">Zalozenia!$Q411*Zalozenia!$H481*Zalozenia!$D$496/Zalozenia!$G$507</f>
        <v>0</v>
      </c>
      <c r="AX175" s="19">
        <f ca="1">AV175*Zalozenia!$C623+Zalozenia!$D623*Obliczenia!AW175</f>
        <v>0</v>
      </c>
      <c r="AY175" s="19">
        <f ca="1">AY174*(1+Zalozenia!$K33)</f>
        <v>8.2442821126305699</v>
      </c>
      <c r="AZ175" s="19">
        <f ca="1">Zalozenia!$Q411*Obliczenia!AY175</f>
        <v>0</v>
      </c>
      <c r="BA175" s="20">
        <f t="shared" si="92"/>
        <v>0</v>
      </c>
      <c r="BC175" s="23">
        <f t="shared" si="93"/>
        <v>-948153.10278092325</v>
      </c>
      <c r="BD175" s="23">
        <f t="shared" si="94"/>
        <v>-3049006.9167492311</v>
      </c>
      <c r="BE175" s="23">
        <f t="shared" si="95"/>
        <v>-1552046.5195064123</v>
      </c>
      <c r="BF175" s="23">
        <f t="shared" si="96"/>
        <v>-1673411.9873082847</v>
      </c>
      <c r="BG175" s="23">
        <f t="shared" si="97"/>
        <v>-2012522.0750915995</v>
      </c>
      <c r="BH175" s="23">
        <f t="shared" si="98"/>
        <v>0</v>
      </c>
    </row>
    <row r="176" spans="1:60" s="4" customFormat="1">
      <c r="A176" s="12"/>
      <c r="B176" s="13">
        <f t="shared" si="81"/>
        <v>2039</v>
      </c>
      <c r="C176" s="73">
        <f ca="1">Zalozenia!$L412*Zalozenia!$C482*Zalozenia!$C$496/Zalozenia!$F$507</f>
        <v>53789.404140916362</v>
      </c>
      <c r="D176" s="19">
        <f ca="1">Zalozenia!$L412*Zalozenia!$C482*Zalozenia!$D$496/Zalozenia!$G$507</f>
        <v>1557.0616988159998</v>
      </c>
      <c r="E176" s="19">
        <f ca="1">C176*Zalozenia!$C624+Zalozenia!$D624*Obliczenia!D176</f>
        <v>136559.02147986204</v>
      </c>
      <c r="F176" s="19">
        <f ca="1">F175*(1+Zalozenia!$K34)</f>
        <v>20.675535318189386</v>
      </c>
      <c r="G176" s="19">
        <f ca="1">Zalozenia!$L412*Obliczenia!F176</f>
        <v>1132323.3142158268</v>
      </c>
      <c r="H176" s="20">
        <f t="shared" si="87"/>
        <v>-995764.29273596476</v>
      </c>
      <c r="I176"/>
      <c r="J176" s="12"/>
      <c r="K176" s="13">
        <f t="shared" si="82"/>
        <v>2039</v>
      </c>
      <c r="L176" s="73">
        <f ca="1">Zalozenia!$M412*Zalozenia!$D482*Zalozenia!$C$496/Zalozenia!$F$507</f>
        <v>157477.20100887274</v>
      </c>
      <c r="M176" s="19">
        <f ca="1">Zalozenia!$M412*Zalozenia!$D482*Zalozenia!$D$496/Zalozenia!$G$507</f>
        <v>4558.5505555199989</v>
      </c>
      <c r="N176" s="19">
        <f ca="1">L176*Zalozenia!$C624+Zalozenia!$D624*Obliczenia!M176</f>
        <v>399798.67445307685</v>
      </c>
      <c r="O176" s="19">
        <f ca="1">O175*(1+Zalozenia!$K34)</f>
        <v>19.115117558326034</v>
      </c>
      <c r="P176" s="19">
        <f ca="1">Zalozenia!$M412*Obliczenia!O176</f>
        <v>3597887.1862726472</v>
      </c>
      <c r="Q176" s="20">
        <f t="shared" si="88"/>
        <v>-3198088.5118195703</v>
      </c>
      <c r="S176" s="12"/>
      <c r="T176" s="13">
        <f t="shared" si="83"/>
        <v>2039</v>
      </c>
      <c r="U176" s="73">
        <f ca="1">Zalozenia!$N412*Zalozenia!$E482*Zalozenia!$C$496/Zalozenia!$F$507</f>
        <v>93278.255166720002</v>
      </c>
      <c r="V176" s="19">
        <f ca="1">Zalozenia!$N412*Zalozenia!$E482*Zalozenia!$D$496/Zalozenia!$G$507</f>
        <v>2700.1600179839998</v>
      </c>
      <c r="W176" s="19">
        <f ca="1">U176*Zalozenia!$C624+Zalozenia!$D624*Obliczenia!V176</f>
        <v>236812.20222379587</v>
      </c>
      <c r="X176" s="19">
        <f ca="1">X175*(1+Zalozenia!$K34)</f>
        <v>15.994282038599337</v>
      </c>
      <c r="Y176" s="19">
        <f ca="1">Zalozenia!$N412*Obliczenia!X176</f>
        <v>1864245.9154357917</v>
      </c>
      <c r="Z176" s="20">
        <f t="shared" si="89"/>
        <v>-1627433.7132119958</v>
      </c>
      <c r="AB176" s="12"/>
      <c r="AC176" s="13">
        <f t="shared" si="84"/>
        <v>2039</v>
      </c>
      <c r="AD176" s="73">
        <f ca="1">Zalozenia!$O412*Zalozenia!$F482*Zalozenia!$C$496/Zalozenia!$F$507</f>
        <v>92840.810478283645</v>
      </c>
      <c r="AE176" s="19">
        <f ca="1">Zalozenia!$O412*Zalozenia!$F482*Zalozenia!$D$496/Zalozenia!$G$507</f>
        <v>2687.4971454239999</v>
      </c>
      <c r="AF176" s="19">
        <f ca="1">AD176*Zalozenia!$C624+Zalozenia!$D624*Obliczenia!AE176</f>
        <v>235701.62999198728</v>
      </c>
      <c r="AG176" s="19">
        <f ca="1">AG175*(1+Zalozenia!$K34)</f>
        <v>15.994282038599337</v>
      </c>
      <c r="AH176" s="19">
        <f ca="1">Zalozenia!$O412*Obliczenia!AG176</f>
        <v>1991271.7356608098</v>
      </c>
      <c r="AI176" s="20">
        <f t="shared" si="90"/>
        <v>-1755570.1056688225</v>
      </c>
      <c r="AK176" s="12"/>
      <c r="AL176" s="13">
        <f t="shared" si="85"/>
        <v>2039</v>
      </c>
      <c r="AM176" s="73">
        <f ca="1">Zalozenia!$P412*Zalozenia!$G482*Zalozenia!$C$496/Zalozenia!$F$507</f>
        <v>120033.63169029819</v>
      </c>
      <c r="AN176" s="19">
        <f ca="1">Zalozenia!$P412*Zalozenia!$G482*Zalozenia!$D$496/Zalozenia!$G$507</f>
        <v>3474.6577594559999</v>
      </c>
      <c r="AO176" s="19">
        <f ca="1">AM176*Zalozenia!$C624+Zalozenia!$D624*Obliczenia!AN176</f>
        <v>304737.99719659862</v>
      </c>
      <c r="AP176" s="19">
        <f ca="1">AP175*(1+Zalozenia!$K34)</f>
        <v>20.675535318189386</v>
      </c>
      <c r="AQ176" s="19">
        <f ca="1">Zalozenia!$P412*Obliczenia!AP176</f>
        <v>2415026.9091849942</v>
      </c>
      <c r="AR176" s="20">
        <f t="shared" si="91"/>
        <v>-2110288.9119883957</v>
      </c>
      <c r="AT176" s="12"/>
      <c r="AU176" s="13">
        <f t="shared" si="86"/>
        <v>2039</v>
      </c>
      <c r="AV176" s="73">
        <f ca="1">Zalozenia!$Q412*Zalozenia!$H482*Zalozenia!$C$496/Zalozenia!$F$507</f>
        <v>0</v>
      </c>
      <c r="AW176" s="19">
        <f ca="1">Zalozenia!$Q412*Zalozenia!$H482*Zalozenia!$D$496/Zalozenia!$G$507</f>
        <v>0</v>
      </c>
      <c r="AX176" s="19">
        <f ca="1">AV176*Zalozenia!$C624+Zalozenia!$D624*Obliczenia!AW176</f>
        <v>0</v>
      </c>
      <c r="AY176" s="19">
        <f ca="1">AY175*(1+Zalozenia!$K34)</f>
        <v>8.5822976792484233</v>
      </c>
      <c r="AZ176" s="19">
        <f ca="1">Zalozenia!$Q412*Obliczenia!AY176</f>
        <v>0</v>
      </c>
      <c r="BA176" s="20">
        <f t="shared" si="92"/>
        <v>0</v>
      </c>
      <c r="BC176" s="23">
        <f t="shared" si="93"/>
        <v>-995764.29273596476</v>
      </c>
      <c r="BD176" s="23">
        <f t="shared" si="94"/>
        <v>-3198088.5118195703</v>
      </c>
      <c r="BE176" s="23">
        <f t="shared" si="95"/>
        <v>-1627433.7132119958</v>
      </c>
      <c r="BF176" s="23">
        <f t="shared" si="96"/>
        <v>-1755570.1056688225</v>
      </c>
      <c r="BG176" s="23">
        <f t="shared" si="97"/>
        <v>-2110288.9119883957</v>
      </c>
      <c r="BH176" s="23">
        <f t="shared" si="98"/>
        <v>0</v>
      </c>
    </row>
    <row r="177" spans="1:60" s="4" customFormat="1">
      <c r="A177" s="12"/>
      <c r="B177" s="13">
        <f t="shared" si="81"/>
        <v>2040</v>
      </c>
      <c r="C177" s="73">
        <f ca="1">Zalozenia!$L413*Zalozenia!$C483*Zalozenia!$C$496/Zalozenia!$F$507</f>
        <v>53164.468326272727</v>
      </c>
      <c r="D177" s="19">
        <f ca="1">Zalozenia!$L413*Zalozenia!$C483*Zalozenia!$D$496/Zalozenia!$G$507</f>
        <v>1538.97145155</v>
      </c>
      <c r="E177" s="19">
        <f ca="1">C177*Zalozenia!$C625+Zalozenia!$D625*Obliczenia!D177</f>
        <v>138346.76336887694</v>
      </c>
      <c r="F177" s="19">
        <f ca="1">F176*(1+Zalozenia!$K35)</f>
        <v>21.523232266235148</v>
      </c>
      <c r="G177" s="19">
        <f ca="1">Zalozenia!$L413*Obliczenia!F177</f>
        <v>1165053.638732922</v>
      </c>
      <c r="H177" s="20">
        <f t="shared" si="87"/>
        <v>-1026706.8753640451</v>
      </c>
      <c r="I177"/>
      <c r="J177" s="12"/>
      <c r="K177" s="13">
        <f t="shared" si="82"/>
        <v>2040</v>
      </c>
      <c r="L177" s="73">
        <f ca="1">Zalozenia!$M413*Zalozenia!$D483*Zalozenia!$C$496/Zalozenia!$F$507</f>
        <v>155483.54929309091</v>
      </c>
      <c r="M177" s="19">
        <f ca="1">Zalozenia!$M413*Zalozenia!$D483*Zalozenia!$D$496/Zalozenia!$G$507</f>
        <v>4500.8395848</v>
      </c>
      <c r="N177" s="19">
        <f ca="1">L177*Zalozenia!$C625+Zalozenia!$D625*Obliczenia!M177</f>
        <v>404605.67892436282</v>
      </c>
      <c r="O177" s="19">
        <f ca="1">O176*(1+Zalozenia!$K35)</f>
        <v>19.898837378217401</v>
      </c>
      <c r="P177" s="19">
        <f ca="1">Zalozenia!$M413*Obliczenia!O177</f>
        <v>3697984.0192980194</v>
      </c>
      <c r="Q177" s="20">
        <f t="shared" si="88"/>
        <v>-3293378.3403736567</v>
      </c>
      <c r="S177" s="12"/>
      <c r="T177" s="13">
        <f t="shared" si="83"/>
        <v>2040</v>
      </c>
      <c r="U177" s="73">
        <f ca="1">Zalozenia!$N413*Zalozenia!$E483*Zalozenia!$C$496/Zalozenia!$F$507</f>
        <v>92040.138777600005</v>
      </c>
      <c r="V177" s="19">
        <f ca="1">Zalozenia!$N413*Zalozenia!$E483*Zalozenia!$D$496/Zalozenia!$G$507</f>
        <v>2664.3198067199996</v>
      </c>
      <c r="W177" s="19">
        <f ca="1">U177*Zalozenia!$C625+Zalozenia!$D625*Obliczenia!V177</f>
        <v>239510.62995227255</v>
      </c>
      <c r="X177" s="19">
        <f ca="1">X176*(1+Zalozenia!$K35)</f>
        <v>16.65004760218191</v>
      </c>
      <c r="Y177" s="19">
        <f ca="1">Zalozenia!$N413*Obliczenia!X177</f>
        <v>1914920.6427231333</v>
      </c>
      <c r="Z177" s="20">
        <f t="shared" si="89"/>
        <v>-1675410.0127708607</v>
      </c>
      <c r="AB177" s="12"/>
      <c r="AC177" s="13">
        <f t="shared" si="84"/>
        <v>2040</v>
      </c>
      <c r="AD177" s="73">
        <f ca="1">Zalozenia!$O413*Zalozenia!$F483*Zalozenia!$C$496/Zalozenia!$F$507</f>
        <v>91669.712082709098</v>
      </c>
      <c r="AE177" s="19">
        <f ca="1">Zalozenia!$O413*Zalozenia!$F483*Zalozenia!$D$496/Zalozenia!$G$507</f>
        <v>2653.5969287100002</v>
      </c>
      <c r="AF177" s="19">
        <f ca="1">AD177*Zalozenia!$C625+Zalozenia!$D625*Obliczenia!AE177</f>
        <v>238546.6903904381</v>
      </c>
      <c r="AG177" s="19">
        <f ca="1">AG176*(1+Zalozenia!$K35)</f>
        <v>16.65004760218191</v>
      </c>
      <c r="AH177" s="19">
        <f ca="1">Zalozenia!$O413*Obliczenia!AG177</f>
        <v>2046766.042666723</v>
      </c>
      <c r="AI177" s="20">
        <f t="shared" si="90"/>
        <v>-1808219.3522762849</v>
      </c>
      <c r="AK177" s="12"/>
      <c r="AL177" s="13">
        <f t="shared" si="85"/>
        <v>2040</v>
      </c>
      <c r="AM177" s="73">
        <f ca="1">Zalozenia!$P413*Zalozenia!$G483*Zalozenia!$C$496/Zalozenia!$F$507</f>
        <v>118443.13850335912</v>
      </c>
      <c r="AN177" s="19">
        <f ca="1">Zalozenia!$P413*Zalozenia!$G483*Zalozenia!$D$496/Zalozenia!$G$507</f>
        <v>3428.6171672024998</v>
      </c>
      <c r="AO177" s="19">
        <f ca="1">AM177*Zalozenia!$C625+Zalozenia!$D625*Obliczenia!AN177</f>
        <v>308217.60042117495</v>
      </c>
      <c r="AP177" s="19">
        <f ca="1">AP176*(1+Zalozenia!$K35)</f>
        <v>21.523232266235148</v>
      </c>
      <c r="AQ177" s="19">
        <f ca="1">Zalozenia!$P413*Obliczenia!AP177</f>
        <v>2480730.9462790876</v>
      </c>
      <c r="AR177" s="20">
        <f t="shared" si="91"/>
        <v>-2172513.3458579127</v>
      </c>
      <c r="AT177" s="12"/>
      <c r="AU177" s="13">
        <f t="shared" si="86"/>
        <v>2040</v>
      </c>
      <c r="AV177" s="73">
        <f ca="1">Zalozenia!$Q413*Zalozenia!$H483*Zalozenia!$C$496/Zalozenia!$F$507</f>
        <v>119836.8</v>
      </c>
      <c r="AW177" s="19">
        <f ca="1">Zalozenia!$Q413*Zalozenia!$H483*Zalozenia!$D$496/Zalozenia!$G$507</f>
        <v>3468.9599999999996</v>
      </c>
      <c r="AX177" s="19">
        <f ca="1">AV177*Zalozenia!$C625+Zalozenia!$D625*Obliczenia!AW177</f>
        <v>311844.24361656659</v>
      </c>
      <c r="AY177" s="19">
        <f ca="1">AY176*(1+Zalozenia!$K35)</f>
        <v>8.9341718840976085</v>
      </c>
      <c r="AZ177" s="19">
        <f ca="1">Zalozenia!$Q413*Obliczenia!AY177</f>
        <v>6887174.4220131645</v>
      </c>
      <c r="BA177" s="20">
        <f t="shared" si="92"/>
        <v>-6575330.1783965975</v>
      </c>
      <c r="BC177" s="23">
        <f t="shared" si="93"/>
        <v>-1026706.8753640451</v>
      </c>
      <c r="BD177" s="23">
        <f t="shared" si="94"/>
        <v>-3293378.3403736567</v>
      </c>
      <c r="BE177" s="23">
        <f t="shared" si="95"/>
        <v>-1675410.0127708607</v>
      </c>
      <c r="BF177" s="23">
        <f t="shared" si="96"/>
        <v>-1808219.3522762849</v>
      </c>
      <c r="BG177" s="23">
        <f t="shared" si="97"/>
        <v>-2172513.3458579127</v>
      </c>
      <c r="BH177" s="23">
        <f t="shared" si="98"/>
        <v>-6575330.1783965975</v>
      </c>
    </row>
    <row r="178" spans="1:60" s="4" customFormat="1">
      <c r="A178" s="12"/>
      <c r="B178" s="13">
        <f t="shared" si="81"/>
        <v>2041</v>
      </c>
      <c r="C178" s="73">
        <f ca="1">Zalozenia!$L414*Zalozenia!$C484*Zalozenia!$C$496/Zalozenia!$F$507</f>
        <v>53515.549925476371</v>
      </c>
      <c r="D178" s="19">
        <f ca="1">Zalozenia!$L414*Zalozenia!$C484*Zalozenia!$D$496/Zalozenia!$G$507</f>
        <v>1549.1343399479999</v>
      </c>
      <c r="E178" s="19">
        <f ca="1">C178*Zalozenia!$C626+Zalozenia!$D626*Obliczenia!D178</f>
        <v>142741.87138625741</v>
      </c>
      <c r="F178" s="19">
        <f ca="1">F177*(1+Zalozenia!$K36)</f>
        <v>22.405684789150786</v>
      </c>
      <c r="G178" s="19">
        <f ca="1">Zalozenia!$L414*Obliczenia!F178</f>
        <v>1220829.9291943319</v>
      </c>
      <c r="H178" s="20">
        <f t="shared" si="87"/>
        <v>-1078088.0578080744</v>
      </c>
      <c r="I178"/>
      <c r="J178" s="12"/>
      <c r="K178" s="13">
        <f t="shared" si="82"/>
        <v>2041</v>
      </c>
      <c r="L178" s="73">
        <f ca="1">Zalozenia!$M414*Zalozenia!$D484*Zalozenia!$C$496/Zalozenia!$F$507</f>
        <v>156347.34678916368</v>
      </c>
      <c r="M178" s="19">
        <f ca="1">Zalozenia!$M414*Zalozenia!$D484*Zalozenia!$D$496/Zalozenia!$G$507</f>
        <v>4525.8442491600008</v>
      </c>
      <c r="N178" s="19">
        <f ca="1">L178*Zalozenia!$C626+Zalozenia!$D626*Obliczenia!M178</f>
        <v>417024.82545801345</v>
      </c>
      <c r="O178" s="19">
        <f ca="1">O177*(1+Zalozenia!$K36)</f>
        <v>20.714689710724311</v>
      </c>
      <c r="P178" s="19">
        <f ca="1">Zalozenia!$M414*Obliczenia!O178</f>
        <v>3870988.0383341778</v>
      </c>
      <c r="Q178" s="20">
        <f t="shared" si="88"/>
        <v>-3453963.2128761644</v>
      </c>
      <c r="S178" s="12"/>
      <c r="T178" s="13">
        <f t="shared" si="83"/>
        <v>2041</v>
      </c>
      <c r="U178" s="73">
        <f ca="1">Zalozenia!$N414*Zalozenia!$E484*Zalozenia!$C$496/Zalozenia!$F$507</f>
        <v>92494.571373360013</v>
      </c>
      <c r="V178" s="19">
        <f ca="1">Zalozenia!$N414*Zalozenia!$E484*Zalozenia!$D$496/Zalozenia!$G$507</f>
        <v>2677.474434492</v>
      </c>
      <c r="W178" s="19">
        <f ca="1">U178*Zalozenia!$C626+Zalozenia!$D626*Obliczenia!V178</f>
        <v>246710.50244814681</v>
      </c>
      <c r="X178" s="19">
        <f ca="1">X177*(1+Zalozenia!$K36)</f>
        <v>17.332699553871368</v>
      </c>
      <c r="Y178" s="19">
        <f ca="1">Zalozenia!$N414*Obliczenia!X178</f>
        <v>2003274.6238548511</v>
      </c>
      <c r="Z178" s="20">
        <f t="shared" si="89"/>
        <v>-1756564.1214067042</v>
      </c>
      <c r="AB178" s="12"/>
      <c r="AC178" s="13">
        <f t="shared" si="84"/>
        <v>2041</v>
      </c>
      <c r="AD178" s="73">
        <f ca="1">Zalozenia!$O414*Zalozenia!$F484*Zalozenia!$C$496/Zalozenia!$F$507</f>
        <v>92183.225167587283</v>
      </c>
      <c r="AE178" s="19">
        <f ca="1">Zalozenia!$O414*Zalozenia!$F484*Zalozenia!$D$496/Zalozenia!$G$507</f>
        <v>2668.461781167</v>
      </c>
      <c r="AF178" s="19">
        <f ca="1">AD178*Zalozenia!$C626+Zalozenia!$D626*Obliczenia!AE178</f>
        <v>245880.04961485072</v>
      </c>
      <c r="AG178" s="19">
        <f ca="1">AG177*(1+Zalozenia!$K36)</f>
        <v>17.332699553871368</v>
      </c>
      <c r="AH178" s="19">
        <f ca="1">Zalozenia!$O414*Obliczenia!AG178</f>
        <v>2142619.0593174463</v>
      </c>
      <c r="AI178" s="20">
        <f t="shared" si="90"/>
        <v>-1896739.0097025956</v>
      </c>
      <c r="AK178" s="12"/>
      <c r="AL178" s="13">
        <f t="shared" si="85"/>
        <v>2041</v>
      </c>
      <c r="AM178" s="73">
        <f ca="1">Zalozenia!$P414*Zalozenia!$G484*Zalozenia!$C$496/Zalozenia!$F$507</f>
        <v>119030.67492370367</v>
      </c>
      <c r="AN178" s="19">
        <f ca="1">Zalozenia!$P414*Zalozenia!$G484*Zalozenia!$D$496/Zalozenia!$G$507</f>
        <v>3445.6248004230006</v>
      </c>
      <c r="AO178" s="19">
        <f ca="1">AM178*Zalozenia!$C626+Zalozenia!$D626*Obliczenia!AN178</f>
        <v>317490.17462474445</v>
      </c>
      <c r="AP178" s="19">
        <f ca="1">AP177*(1+Zalozenia!$K36)</f>
        <v>22.405684789150786</v>
      </c>
      <c r="AQ178" s="19">
        <f ca="1">Zalozenia!$P414*Obliczenia!AP178</f>
        <v>2595251.0964865098</v>
      </c>
      <c r="AR178" s="20">
        <f t="shared" si="91"/>
        <v>-2277760.9218617654</v>
      </c>
      <c r="AT178" s="12"/>
      <c r="AU178" s="13">
        <f t="shared" si="86"/>
        <v>2041</v>
      </c>
      <c r="AV178" s="73">
        <f ca="1">Zalozenia!$Q414*Zalozenia!$H484*Zalozenia!$C$496/Zalozenia!$F$507</f>
        <v>127825.92</v>
      </c>
      <c r="AW178" s="19">
        <f ca="1">Zalozenia!$Q414*Zalozenia!$H484*Zalozenia!$D$496/Zalozenia!$G$507</f>
        <v>3700.2239999999997</v>
      </c>
      <c r="AX178" s="19">
        <f ca="1">AV178*Zalozenia!$C626+Zalozenia!$D626*Obliczenia!AW178</f>
        <v>340949.70635411277</v>
      </c>
      <c r="AY178" s="19">
        <f ca="1">AY177*(1+Zalozenia!$K36)</f>
        <v>9.3004729313456096</v>
      </c>
      <c r="AZ178" s="19">
        <f ca="1">Zalozenia!$Q414*Obliczenia!AY178</f>
        <v>7647518.4782034168</v>
      </c>
      <c r="BA178" s="20">
        <f t="shared" si="92"/>
        <v>-7306568.7718493044</v>
      </c>
      <c r="BC178" s="23">
        <f t="shared" si="93"/>
        <v>-1078088.0578080744</v>
      </c>
      <c r="BD178" s="23">
        <f t="shared" si="94"/>
        <v>-3453963.2128761644</v>
      </c>
      <c r="BE178" s="23">
        <f t="shared" si="95"/>
        <v>-1756564.1214067042</v>
      </c>
      <c r="BF178" s="23">
        <f t="shared" si="96"/>
        <v>-1896739.0097025956</v>
      </c>
      <c r="BG178" s="23">
        <f t="shared" si="97"/>
        <v>-2277760.9218617654</v>
      </c>
      <c r="BH178" s="23">
        <f t="shared" si="98"/>
        <v>-7306568.7718493044</v>
      </c>
    </row>
    <row r="179" spans="1:60" s="4" customFormat="1">
      <c r="A179" s="12"/>
      <c r="B179" s="13">
        <f t="shared" si="81"/>
        <v>2042</v>
      </c>
      <c r="C179" s="73">
        <f ca="1">Zalozenia!$L415*Zalozenia!$C485*Zalozenia!$C$496/Zalozenia!$F$507</f>
        <v>53866.631524680008</v>
      </c>
      <c r="D179" s="19">
        <f ca="1">Zalozenia!$L415*Zalozenia!$C485*Zalozenia!$D$496/Zalozenia!$G$507</f>
        <v>1559.2972283460001</v>
      </c>
      <c r="E179" s="19">
        <f ca="1">C179*Zalozenia!$C627+Zalozenia!$D627*Obliczenia!D179</f>
        <v>147270.26807740139</v>
      </c>
      <c r="F179" s="19">
        <f ca="1">F178*(1+Zalozenia!$K37)</f>
        <v>23.324317865505968</v>
      </c>
      <c r="G179" s="19">
        <f ca="1">Zalozenia!$L415*Obliczenia!F179</f>
        <v>1279221.4203068675</v>
      </c>
      <c r="H179" s="20">
        <f t="shared" si="87"/>
        <v>-1131951.152229466</v>
      </c>
      <c r="I179"/>
      <c r="J179" s="12"/>
      <c r="K179" s="13">
        <f t="shared" si="82"/>
        <v>2042</v>
      </c>
      <c r="L179" s="73">
        <f ca="1">Zalozenia!$M415*Zalozenia!$D485*Zalozenia!$C$496/Zalozenia!$F$507</f>
        <v>157211.14428523634</v>
      </c>
      <c r="M179" s="19">
        <f ca="1">Zalozenia!$M415*Zalozenia!$D485*Zalozenia!$D$496/Zalozenia!$G$507</f>
        <v>4550.8489135199998</v>
      </c>
      <c r="N179" s="19">
        <f ca="1">L179*Zalozenia!$C627+Zalozenia!$D627*Obliczenia!M179</f>
        <v>429812.05076901859</v>
      </c>
      <c r="O179" s="19">
        <f ca="1">O178*(1+Zalozenia!$K37)</f>
        <v>21.563991988864007</v>
      </c>
      <c r="P179" s="19">
        <f ca="1">Zalozenia!$M415*Obliczenia!O179</f>
        <v>4051962.0757948612</v>
      </c>
      <c r="Q179" s="20">
        <f t="shared" si="88"/>
        <v>-3622150.0250258427</v>
      </c>
      <c r="S179" s="12"/>
      <c r="T179" s="13">
        <f t="shared" si="83"/>
        <v>2042</v>
      </c>
      <c r="U179" s="73">
        <f ca="1">Zalozenia!$N415*Zalozenia!$E485*Zalozenia!$C$496/Zalozenia!$F$507</f>
        <v>92949.003969120007</v>
      </c>
      <c r="V179" s="19">
        <f ca="1">Zalozenia!$N415*Zalozenia!$E485*Zalozenia!$D$496/Zalozenia!$G$507</f>
        <v>2690.6290622640004</v>
      </c>
      <c r="W179" s="19">
        <f ca="1">U179*Zalozenia!$C627+Zalozenia!$D627*Obliczenia!V179</f>
        <v>254120.67442509465</v>
      </c>
      <c r="X179" s="19">
        <f ca="1">X178*(1+Zalozenia!$K37)</f>
        <v>18.043340235580093</v>
      </c>
      <c r="Y179" s="19">
        <f ca="1">Zalozenia!$N415*Obliczenia!X179</f>
        <v>2095654.6498389523</v>
      </c>
      <c r="Z179" s="20">
        <f t="shared" si="89"/>
        <v>-1841533.9754138577</v>
      </c>
      <c r="AB179" s="12"/>
      <c r="AC179" s="13">
        <f t="shared" si="84"/>
        <v>2042</v>
      </c>
      <c r="AD179" s="73">
        <f ca="1">Zalozenia!$O415*Zalozenia!$F485*Zalozenia!$C$496/Zalozenia!$F$507</f>
        <v>92696.738252465468</v>
      </c>
      <c r="AE179" s="19">
        <f ca="1">Zalozenia!$O415*Zalozenia!$F485*Zalozenia!$D$496/Zalozenia!$G$507</f>
        <v>2683.3266336239999</v>
      </c>
      <c r="AF179" s="19">
        <f ca="1">AD179*Zalozenia!$C627+Zalozenia!$D627*Obliczenia!AE179</f>
        <v>253430.98511898998</v>
      </c>
      <c r="AG179" s="19">
        <f ca="1">AG178*(1+Zalozenia!$K37)</f>
        <v>18.043340235580093</v>
      </c>
      <c r="AH179" s="19">
        <f ca="1">Zalozenia!$O415*Obliczenia!AG179</f>
        <v>2242891.4096158063</v>
      </c>
      <c r="AI179" s="20">
        <f t="shared" si="90"/>
        <v>-1989460.4244968162</v>
      </c>
      <c r="AK179" s="12"/>
      <c r="AL179" s="13">
        <f t="shared" si="85"/>
        <v>2042</v>
      </c>
      <c r="AM179" s="73">
        <f ca="1">Zalozenia!$P415*Zalozenia!$G485*Zalozenia!$C$496/Zalozenia!$F$507</f>
        <v>119618.21134404819</v>
      </c>
      <c r="AN179" s="19">
        <f ca="1">Zalozenia!$P415*Zalozenia!$G485*Zalozenia!$D$496/Zalozenia!$G$507</f>
        <v>3462.6324336435005</v>
      </c>
      <c r="AO179" s="19">
        <f ca="1">AM179*Zalozenia!$C627+Zalozenia!$D627*Obliczenia!AN179</f>
        <v>327033.74153822922</v>
      </c>
      <c r="AP179" s="19">
        <f ca="1">AP178*(1+Zalozenia!$K37)</f>
        <v>23.324317865505968</v>
      </c>
      <c r="AQ179" s="19">
        <f ca="1">Zalozenia!$P415*Obliczenia!AP179</f>
        <v>2714991.7902902453</v>
      </c>
      <c r="AR179" s="20">
        <f t="shared" si="91"/>
        <v>-2387958.0487520159</v>
      </c>
      <c r="AT179" s="12"/>
      <c r="AU179" s="13">
        <f t="shared" si="86"/>
        <v>2042</v>
      </c>
      <c r="AV179" s="73">
        <f ca="1">Zalozenia!$Q415*Zalozenia!$H485*Zalozenia!$C$496/Zalozenia!$F$507</f>
        <v>135815.04000000001</v>
      </c>
      <c r="AW179" s="19">
        <f ca="1">Zalozenia!$Q415*Zalozenia!$H485*Zalozenia!$D$496/Zalozenia!$G$507</f>
        <v>3931.4879999999998</v>
      </c>
      <c r="AX179" s="19">
        <f ca="1">AV179*Zalozenia!$C627+Zalozenia!$D627*Obliczenia!AW179</f>
        <v>371315.53957627591</v>
      </c>
      <c r="AY179" s="19">
        <f ca="1">AY178*(1+Zalozenia!$K37)</f>
        <v>9.6817923215307786</v>
      </c>
      <c r="AZ179" s="19">
        <f ca="1">Zalozenia!$Q415*Obliczenia!AY179</f>
        <v>8458633.4067978654</v>
      </c>
      <c r="BA179" s="20">
        <f t="shared" si="92"/>
        <v>-8087317.8672215892</v>
      </c>
      <c r="BC179" s="23">
        <f t="shared" si="93"/>
        <v>-1131951.152229466</v>
      </c>
      <c r="BD179" s="23">
        <f t="shared" si="94"/>
        <v>-3622150.0250258427</v>
      </c>
      <c r="BE179" s="23">
        <f t="shared" si="95"/>
        <v>-1841533.9754138577</v>
      </c>
      <c r="BF179" s="23">
        <f t="shared" si="96"/>
        <v>-1989460.4244968162</v>
      </c>
      <c r="BG179" s="23">
        <f t="shared" si="97"/>
        <v>-2387958.0487520159</v>
      </c>
      <c r="BH179" s="23">
        <f t="shared" si="98"/>
        <v>-8087317.8672215892</v>
      </c>
    </row>
    <row r="180" spans="1:60" s="4" customFormat="1">
      <c r="A180" s="12"/>
      <c r="B180" s="13">
        <v>2043</v>
      </c>
      <c r="C180" s="73">
        <f ca="1">Zalozenia!$L416*Zalozenia!$C486*Zalozenia!$C$496/Zalozenia!$F$507</f>
        <v>54217.713123883637</v>
      </c>
      <c r="D180" s="19">
        <f ca="1">Zalozenia!$L416*Zalozenia!$C486*Zalozenia!$D$496/Zalozenia!$G$507</f>
        <v>1569.4601167439998</v>
      </c>
      <c r="E180" s="19">
        <f ca="1">C180*Zalozenia!$C628+Zalozenia!$D628*Obliczenia!D180</f>
        <v>151935.87093348612</v>
      </c>
      <c r="F180" s="19">
        <f ca="1">F179*(1+Zalozenia!$K38)</f>
        <v>24.280614897991711</v>
      </c>
      <c r="G180" s="19">
        <f ca="1">Zalozenia!$L416*Obliczenia!F180</f>
        <v>1340348.7985796551</v>
      </c>
      <c r="H180" s="20">
        <f t="shared" si="87"/>
        <v>-1188412.927646169</v>
      </c>
      <c r="I180"/>
      <c r="J180" s="12"/>
      <c r="K180" s="13">
        <f t="shared" si="82"/>
        <v>2043</v>
      </c>
      <c r="L180" s="73">
        <f ca="1">Zalozenia!$M416*Zalozenia!$D486*Zalozenia!$C$496/Zalozenia!$F$507</f>
        <v>158074.94178130911</v>
      </c>
      <c r="M180" s="19">
        <f ca="1">Zalozenia!$M416*Zalozenia!$D486*Zalozenia!$D$496/Zalozenia!$G$507</f>
        <v>4575.8535778799996</v>
      </c>
      <c r="N180" s="19">
        <f ca="1">L180*Zalozenia!$C628+Zalozenia!$D628*Obliczenia!M180</f>
        <v>442977.99682966311</v>
      </c>
      <c r="O180" s="19">
        <f ca="1">O179*(1+Zalozenia!$K38)</f>
        <v>22.448115660407431</v>
      </c>
      <c r="P180" s="19">
        <f ca="1">Zalozenia!$M416*Obliczenia!O180</f>
        <v>4241268.8534348812</v>
      </c>
      <c r="Q180" s="20">
        <f t="shared" si="88"/>
        <v>-3798290.8566052183</v>
      </c>
      <c r="S180" s="12"/>
      <c r="T180" s="13">
        <f t="shared" si="83"/>
        <v>2043</v>
      </c>
      <c r="U180" s="73">
        <f ca="1">Zalozenia!$N416*Zalozenia!$E486*Zalozenia!$C$496/Zalozenia!$F$507</f>
        <v>93403.436564880016</v>
      </c>
      <c r="V180" s="19">
        <f ca="1">Zalozenia!$N416*Zalozenia!$E486*Zalozenia!$D$496/Zalozenia!$G$507</f>
        <v>2703.7836900360003</v>
      </c>
      <c r="W180" s="19">
        <f ca="1">U180*Zalozenia!$C628+Zalozenia!$D628*Obliczenia!V180</f>
        <v>261747.16093685981</v>
      </c>
      <c r="X180" s="19">
        <f ca="1">X179*(1+Zalozenia!$K38)</f>
        <v>18.783117185238876</v>
      </c>
      <c r="Y180" s="19">
        <f ca="1">Zalozenia!$N416*Obliczenia!X180</f>
        <v>2192242.3333110493</v>
      </c>
      <c r="Z180" s="20">
        <f t="shared" si="89"/>
        <v>-1930495.1723741894</v>
      </c>
      <c r="AB180" s="12"/>
      <c r="AC180" s="13">
        <f t="shared" si="84"/>
        <v>2043</v>
      </c>
      <c r="AD180" s="73">
        <f ca="1">Zalozenia!$O416*Zalozenia!$F486*Zalozenia!$C$496/Zalozenia!$F$507</f>
        <v>93210.251337343652</v>
      </c>
      <c r="AE180" s="19">
        <f ca="1">Zalozenia!$O416*Zalozenia!$F486*Zalozenia!$D$496/Zalozenia!$G$507</f>
        <v>2698.1914860810002</v>
      </c>
      <c r="AF180" s="19">
        <f ca="1">AD180*Zalozenia!$C628+Zalozenia!$D628*Obliczenia!AE180</f>
        <v>261205.79236732691</v>
      </c>
      <c r="AG180" s="19">
        <f ca="1">AG179*(1+Zalozenia!$K38)</f>
        <v>18.783117185238876</v>
      </c>
      <c r="AH180" s="19">
        <f ca="1">Zalozenia!$O416*Obliczenia!AG180</f>
        <v>2347784.3499999191</v>
      </c>
      <c r="AI180" s="20">
        <f t="shared" si="90"/>
        <v>-2086578.557632592</v>
      </c>
      <c r="AK180" s="12"/>
      <c r="AL180" s="13">
        <f t="shared" si="85"/>
        <v>2043</v>
      </c>
      <c r="AM180" s="73">
        <f ca="1">Zalozenia!$P416*Zalozenia!$G486*Zalozenia!$C$496/Zalozenia!$F$507</f>
        <v>120205.74776439276</v>
      </c>
      <c r="AN180" s="19">
        <f ca="1">Zalozenia!$P416*Zalozenia!$G486*Zalozenia!$D$496/Zalozenia!$G$507</f>
        <v>3479.6400668640003</v>
      </c>
      <c r="AO180" s="19">
        <f ca="1">AM180*Zalozenia!$C628+Zalozenia!$D628*Obliczenia!AN180</f>
        <v>336856.0554382478</v>
      </c>
      <c r="AP180" s="19">
        <f ca="1">AP179*(1+Zalozenia!$K38)</f>
        <v>24.280614897991711</v>
      </c>
      <c r="AQ180" s="19">
        <f ca="1">Zalozenia!$P416*Obliczenia!AP180</f>
        <v>2840188.6038926928</v>
      </c>
      <c r="AR180" s="20">
        <f t="shared" si="91"/>
        <v>-2503332.5484544449</v>
      </c>
      <c r="AT180" s="12"/>
      <c r="AU180" s="13">
        <f t="shared" si="86"/>
        <v>2043</v>
      </c>
      <c r="AV180" s="73">
        <f ca="1">Zalozenia!$Q416*Zalozenia!$H486*Zalozenia!$C$496/Zalozenia!$F$507</f>
        <v>143804.16</v>
      </c>
      <c r="AW180" s="19">
        <f ca="1">Zalozenia!$Q416*Zalozenia!$H486*Zalozenia!$D$496/Zalozenia!$G$507</f>
        <v>4162.7519999999995</v>
      </c>
      <c r="AX180" s="19">
        <f ca="1">AV180*Zalozenia!$C628+Zalozenia!$D628*Obliczenia!AW180</f>
        <v>402986.5708930759</v>
      </c>
      <c r="AY180" s="19">
        <f ca="1">AY179*(1+Zalozenia!$K38)</f>
        <v>10.07874580671354</v>
      </c>
      <c r="AZ180" s="19">
        <f ca="1">Zalozenia!$Q416*Obliczenia!AY180</f>
        <v>9323404.2809752002</v>
      </c>
      <c r="BA180" s="20">
        <f t="shared" si="92"/>
        <v>-8920417.7100821249</v>
      </c>
      <c r="BC180" s="23">
        <f t="shared" si="93"/>
        <v>-1188412.927646169</v>
      </c>
      <c r="BD180" s="23">
        <f t="shared" si="94"/>
        <v>-3798290.8566052183</v>
      </c>
      <c r="BE180" s="23">
        <f t="shared" si="95"/>
        <v>-1930495.1723741894</v>
      </c>
      <c r="BF180" s="23">
        <f t="shared" si="96"/>
        <v>-2086578.557632592</v>
      </c>
      <c r="BG180" s="23">
        <f t="shared" si="97"/>
        <v>-2503332.5484544449</v>
      </c>
      <c r="BH180" s="23">
        <f t="shared" si="98"/>
        <v>-8920417.7100821249</v>
      </c>
    </row>
    <row r="181" spans="1:60">
      <c r="A181" s="43"/>
      <c r="B181" s="13">
        <f t="shared" si="81"/>
        <v>2044</v>
      </c>
      <c r="C181" s="73">
        <f ca="1">Zalozenia!$L417*Zalozenia!$C487*Zalozenia!$C$496/Zalozenia!$F$507</f>
        <v>54568.794723087274</v>
      </c>
      <c r="D181" s="19">
        <f ca="1">Zalozenia!$L417*Zalozenia!$C487*Zalozenia!$D$496/Zalozenia!$G$507</f>
        <v>1579.6230051419998</v>
      </c>
      <c r="E181" s="19">
        <f ca="1">C181*Zalozenia!$C629+Zalozenia!$D629*Obliczenia!D181</f>
        <v>152919.71708763583</v>
      </c>
      <c r="F181" s="19">
        <f ca="1">F180*(1+Zalozenia!$K39)</f>
        <v>25.276120108809369</v>
      </c>
      <c r="G181" s="19">
        <f ca="1">Zalozenia!$L417*Obliczenia!F181</f>
        <v>1404338.2506632756</v>
      </c>
      <c r="H181" s="77">
        <f t="shared" si="87"/>
        <v>-1251418.5335756398</v>
      </c>
      <c r="J181" s="43"/>
      <c r="K181" s="13">
        <f t="shared" si="82"/>
        <v>2044</v>
      </c>
      <c r="L181" s="73">
        <f ca="1">Zalozenia!$M417*Zalozenia!$D487*Zalozenia!$C$496/Zalozenia!$F$507</f>
        <v>158938.73927738183</v>
      </c>
      <c r="M181" s="19">
        <f ca="1">Zalozenia!$M417*Zalozenia!$D487*Zalozenia!$D$496/Zalozenia!$G$507</f>
        <v>4600.8582422399995</v>
      </c>
      <c r="N181" s="19">
        <f ca="1">L181*Zalozenia!$C629+Zalozenia!$D629*Obliczenia!M181</f>
        <v>445398.64162108203</v>
      </c>
      <c r="O181" s="19">
        <f ca="1">O180*(1+Zalozenia!$K39)</f>
        <v>23.368488402484136</v>
      </c>
      <c r="P181" s="19">
        <f ca="1">Zalozenia!$M417*Obliczenia!O181</f>
        <v>4439287.4385919729</v>
      </c>
      <c r="Q181" s="77">
        <f t="shared" si="88"/>
        <v>-3993888.7969708908</v>
      </c>
      <c r="S181" s="43"/>
      <c r="T181" s="13">
        <f t="shared" si="83"/>
        <v>2044</v>
      </c>
      <c r="U181" s="73">
        <f ca="1">Zalozenia!$N417*Zalozenia!$E487*Zalozenia!$C$496/Zalozenia!$F$507</f>
        <v>93857.86916064001</v>
      </c>
      <c r="V181" s="19">
        <f ca="1">Zalozenia!$N417*Zalozenia!$E487*Zalozenia!$D$496/Zalozenia!$G$507</f>
        <v>2716.9383178079997</v>
      </c>
      <c r="W181" s="19">
        <f ca="1">U181*Zalozenia!$C629+Zalozenia!$D629*Obliczenia!V181</f>
        <v>263020.63058799756</v>
      </c>
      <c r="X181" s="19">
        <f ca="1">X180*(1+Zalozenia!$K39)</f>
        <v>19.553224989833669</v>
      </c>
      <c r="Y181" s="19">
        <f ca="1">Zalozenia!$N417*Obliczenia!X181</f>
        <v>2293227.4113614797</v>
      </c>
      <c r="Z181" s="77">
        <f t="shared" si="89"/>
        <v>-2030206.7807734821</v>
      </c>
      <c r="AB181" s="43"/>
      <c r="AC181" s="13">
        <f t="shared" si="84"/>
        <v>2044</v>
      </c>
      <c r="AD181" s="73">
        <f ca="1">Zalozenia!$O417*Zalozenia!$F487*Zalozenia!$C$496/Zalozenia!$F$507</f>
        <v>93723.764422221837</v>
      </c>
      <c r="AE181" s="19">
        <f ca="1">Zalozenia!$O417*Zalozenia!$F487*Zalozenia!$D$496/Zalozenia!$G$507</f>
        <v>2713.0563385380001</v>
      </c>
      <c r="AF181" s="19">
        <f ca="1">AD181*Zalozenia!$C629+Zalozenia!$D629*Obliczenia!AE181</f>
        <v>262644.82498768909</v>
      </c>
      <c r="AG181" s="19">
        <f ca="1">AG180*(1+Zalozenia!$K39)</f>
        <v>19.553224989833669</v>
      </c>
      <c r="AH181" s="19">
        <f ca="1">Zalozenia!$O417*Obliczenia!AG181</f>
        <v>2457508.211035965</v>
      </c>
      <c r="AI181" s="77">
        <f t="shared" si="90"/>
        <v>-2194863.386048276</v>
      </c>
      <c r="AK181" s="43"/>
      <c r="AL181" s="13">
        <f t="shared" si="85"/>
        <v>2044</v>
      </c>
      <c r="AM181" s="73">
        <f ca="1">Zalozenia!$P417*Zalozenia!$G487*Zalozenia!$C$496/Zalozenia!$F$507</f>
        <v>120793.28418473729</v>
      </c>
      <c r="AN181" s="19">
        <f ca="1">Zalozenia!$P417*Zalozenia!$G487*Zalozenia!$D$496/Zalozenia!$G$507</f>
        <v>3496.6477000845002</v>
      </c>
      <c r="AO181" s="19">
        <f ca="1">AM181*Zalozenia!$C629+Zalozenia!$D629*Obliczenia!AN181</f>
        <v>338502.52579981065</v>
      </c>
      <c r="AP181" s="19">
        <f ca="1">AP180*(1+Zalozenia!$K39)</f>
        <v>25.276120108809369</v>
      </c>
      <c r="AQ181" s="19">
        <f ca="1">Zalozenia!$P417*Obliczenia!AP181</f>
        <v>2971087.6550110634</v>
      </c>
      <c r="AR181" s="77">
        <f t="shared" si="91"/>
        <v>-2632585.1292112526</v>
      </c>
      <c r="AT181" s="43"/>
      <c r="AU181" s="13">
        <f t="shared" si="86"/>
        <v>2044</v>
      </c>
      <c r="AV181" s="73">
        <f ca="1">Zalozenia!$Q417*Zalozenia!$H487*Zalozenia!$C$496/Zalozenia!$F$507</f>
        <v>151793.28</v>
      </c>
      <c r="AW181" s="19">
        <f ca="1">Zalozenia!$Q417*Zalozenia!$H487*Zalozenia!$D$496/Zalozenia!$G$507</f>
        <v>4394.0159999999996</v>
      </c>
      <c r="AX181" s="19">
        <f ca="1">AV181*Zalozenia!$C629+Zalozenia!$D629*Obliczenia!AW181</f>
        <v>425374.71372046898</v>
      </c>
      <c r="AY181" s="19">
        <f ca="1">AY180*(1+Zalozenia!$K39)</f>
        <v>10.491974384788794</v>
      </c>
      <c r="AZ181" s="19">
        <f ca="1">Zalozenia!$Q417*Obliczenia!AY181</f>
        <v>10244867.404078249</v>
      </c>
      <c r="BA181" s="77">
        <f t="shared" si="92"/>
        <v>-9819492.6903577801</v>
      </c>
      <c r="BC181" s="23">
        <f t="shared" si="93"/>
        <v>-1251418.5335756398</v>
      </c>
      <c r="BD181" s="23">
        <f t="shared" si="94"/>
        <v>-3993888.7969708908</v>
      </c>
      <c r="BE181" s="23">
        <f t="shared" si="95"/>
        <v>-2030206.7807734821</v>
      </c>
      <c r="BF181" s="23">
        <f t="shared" si="96"/>
        <v>-2194863.386048276</v>
      </c>
      <c r="BG181" s="23">
        <f t="shared" si="97"/>
        <v>-2632585.1292112526</v>
      </c>
      <c r="BH181" s="23">
        <f t="shared" si="98"/>
        <v>-9819492.6903577801</v>
      </c>
    </row>
    <row r="183" spans="1:60" s="2" customFormat="1" ht="18" customHeight="1">
      <c r="A183" s="1" t="s">
        <v>139</v>
      </c>
      <c r="E183" s="3"/>
    </row>
    <row r="184" spans="1:60" s="4" customFormat="1" ht="10.5"/>
    <row r="185" spans="1:60" s="4" customFormat="1" ht="10.5">
      <c r="A185" s="169" t="s">
        <v>189</v>
      </c>
      <c r="B185" s="170"/>
      <c r="C185" s="170"/>
      <c r="D185" s="170"/>
      <c r="E185" s="170"/>
      <c r="F185" s="170"/>
      <c r="G185" s="171"/>
      <c r="I185" s="169" t="s">
        <v>190</v>
      </c>
      <c r="J185" s="170"/>
      <c r="K185" s="170"/>
      <c r="L185" s="170"/>
      <c r="M185" s="170"/>
      <c r="N185" s="170"/>
      <c r="O185" s="171"/>
      <c r="Q185" s="169" t="s">
        <v>191</v>
      </c>
      <c r="R185" s="170"/>
      <c r="S185" s="170"/>
      <c r="T185" s="170"/>
      <c r="U185" s="170"/>
      <c r="V185" s="170"/>
      <c r="W185" s="171"/>
      <c r="Y185" s="169" t="s">
        <v>192</v>
      </c>
      <c r="Z185" s="170"/>
      <c r="AA185" s="170"/>
      <c r="AB185" s="170"/>
      <c r="AC185" s="170"/>
      <c r="AD185" s="170"/>
      <c r="AE185" s="171"/>
      <c r="AG185" s="169" t="s">
        <v>193</v>
      </c>
      <c r="AH185" s="170"/>
      <c r="AI185" s="170"/>
      <c r="AJ185" s="170"/>
      <c r="AK185" s="170"/>
      <c r="AL185" s="170"/>
      <c r="AM185" s="171"/>
      <c r="AO185" s="169" t="s">
        <v>309</v>
      </c>
      <c r="AP185" s="170"/>
      <c r="AQ185" s="170"/>
      <c r="AR185" s="170"/>
      <c r="AS185" s="170"/>
      <c r="AT185" s="170"/>
      <c r="AU185" s="171"/>
    </row>
    <row r="186" spans="1:60" s="4" customFormat="1" ht="10.5">
      <c r="A186" s="134" t="s">
        <v>5</v>
      </c>
      <c r="B186" s="134"/>
      <c r="C186" s="6">
        <v>1</v>
      </c>
      <c r="D186" s="6">
        <v>2</v>
      </c>
      <c r="E186" s="6">
        <v>3</v>
      </c>
      <c r="F186" s="6">
        <v>4</v>
      </c>
      <c r="G186" s="6">
        <v>10</v>
      </c>
      <c r="I186" s="134" t="s">
        <v>5</v>
      </c>
      <c r="J186" s="134"/>
      <c r="K186" s="6">
        <v>1</v>
      </c>
      <c r="L186" s="6">
        <v>2</v>
      </c>
      <c r="M186" s="6">
        <v>3</v>
      </c>
      <c r="N186" s="6">
        <v>4</v>
      </c>
      <c r="O186" s="6">
        <v>10</v>
      </c>
      <c r="Q186" s="134" t="s">
        <v>5</v>
      </c>
      <c r="R186" s="134"/>
      <c r="S186" s="6">
        <v>1</v>
      </c>
      <c r="T186" s="6">
        <v>2</v>
      </c>
      <c r="U186" s="6">
        <v>3</v>
      </c>
      <c r="V186" s="6">
        <v>4</v>
      </c>
      <c r="W186" s="6">
        <v>10</v>
      </c>
      <c r="Y186" s="134" t="s">
        <v>5</v>
      </c>
      <c r="Z186" s="134"/>
      <c r="AA186" s="6">
        <v>1</v>
      </c>
      <c r="AB186" s="6">
        <v>2</v>
      </c>
      <c r="AC186" s="6">
        <v>3</v>
      </c>
      <c r="AD186" s="6">
        <v>4</v>
      </c>
      <c r="AE186" s="6">
        <v>10</v>
      </c>
      <c r="AG186" s="134" t="s">
        <v>5</v>
      </c>
      <c r="AH186" s="134"/>
      <c r="AI186" s="6">
        <v>1</v>
      </c>
      <c r="AJ186" s="6">
        <v>2</v>
      </c>
      <c r="AK186" s="6">
        <v>3</v>
      </c>
      <c r="AL186" s="6">
        <v>4</v>
      </c>
      <c r="AM186" s="6">
        <v>10</v>
      </c>
      <c r="AO186" s="134" t="s">
        <v>5</v>
      </c>
      <c r="AP186" s="134"/>
      <c r="AQ186" s="6">
        <v>1</v>
      </c>
      <c r="AR186" s="6">
        <v>2</v>
      </c>
      <c r="AS186" s="6">
        <v>3</v>
      </c>
      <c r="AT186" s="6">
        <v>4</v>
      </c>
      <c r="AU186" s="6">
        <v>10</v>
      </c>
    </row>
    <row r="187" spans="1:60" s="4" customFormat="1" ht="52.5">
      <c r="A187" s="134" t="s">
        <v>6</v>
      </c>
      <c r="B187" s="134"/>
      <c r="C187" s="35" t="s">
        <v>165</v>
      </c>
      <c r="D187" s="35" t="s">
        <v>166</v>
      </c>
      <c r="E187" s="35" t="s">
        <v>167</v>
      </c>
      <c r="F187" s="35" t="s">
        <v>168</v>
      </c>
      <c r="G187" s="35" t="s">
        <v>169</v>
      </c>
      <c r="I187" s="134" t="s">
        <v>6</v>
      </c>
      <c r="J187" s="134"/>
      <c r="K187" s="35" t="s">
        <v>165</v>
      </c>
      <c r="L187" s="35" t="s">
        <v>166</v>
      </c>
      <c r="M187" s="35" t="s">
        <v>167</v>
      </c>
      <c r="N187" s="35" t="s">
        <v>168</v>
      </c>
      <c r="O187" s="35" t="s">
        <v>169</v>
      </c>
      <c r="Q187" s="134" t="s">
        <v>6</v>
      </c>
      <c r="R187" s="134"/>
      <c r="S187" s="35" t="s">
        <v>165</v>
      </c>
      <c r="T187" s="35" t="s">
        <v>166</v>
      </c>
      <c r="U187" s="35" t="s">
        <v>167</v>
      </c>
      <c r="V187" s="35" t="s">
        <v>168</v>
      </c>
      <c r="W187" s="35" t="s">
        <v>169</v>
      </c>
      <c r="Y187" s="134" t="s">
        <v>6</v>
      </c>
      <c r="Z187" s="134"/>
      <c r="AA187" s="35" t="s">
        <v>165</v>
      </c>
      <c r="AB187" s="35" t="s">
        <v>166</v>
      </c>
      <c r="AC187" s="35" t="s">
        <v>167</v>
      </c>
      <c r="AD187" s="35" t="s">
        <v>168</v>
      </c>
      <c r="AE187" s="35" t="s">
        <v>169</v>
      </c>
      <c r="AG187" s="134" t="s">
        <v>6</v>
      </c>
      <c r="AH187" s="134"/>
      <c r="AI187" s="35" t="s">
        <v>165</v>
      </c>
      <c r="AJ187" s="35" t="s">
        <v>166</v>
      </c>
      <c r="AK187" s="35" t="s">
        <v>167</v>
      </c>
      <c r="AL187" s="35" t="s">
        <v>168</v>
      </c>
      <c r="AM187" s="35" t="s">
        <v>169</v>
      </c>
      <c r="AO187" s="134" t="s">
        <v>6</v>
      </c>
      <c r="AP187" s="134"/>
      <c r="AQ187" s="35" t="s">
        <v>165</v>
      </c>
      <c r="AR187" s="35" t="s">
        <v>166</v>
      </c>
      <c r="AS187" s="35" t="s">
        <v>167</v>
      </c>
      <c r="AT187" s="35" t="s">
        <v>168</v>
      </c>
      <c r="AU187" s="35" t="s">
        <v>169</v>
      </c>
      <c r="AW187" s="128" t="s">
        <v>189</v>
      </c>
      <c r="AX187" s="128" t="s">
        <v>190</v>
      </c>
      <c r="AY187" s="128" t="s">
        <v>191</v>
      </c>
      <c r="AZ187" s="128" t="s">
        <v>192</v>
      </c>
      <c r="BA187" s="128" t="s">
        <v>193</v>
      </c>
      <c r="BB187" s="128" t="s">
        <v>309</v>
      </c>
    </row>
    <row r="188" spans="1:60" s="4" customFormat="1" ht="21">
      <c r="A188" s="8"/>
      <c r="B188" s="9" t="s">
        <v>22</v>
      </c>
      <c r="C188" s="36" t="s">
        <v>170</v>
      </c>
      <c r="D188" s="36" t="s">
        <v>28</v>
      </c>
      <c r="E188" s="36" t="s">
        <v>28</v>
      </c>
      <c r="F188" s="36" t="s">
        <v>28</v>
      </c>
      <c r="G188" s="36" t="s">
        <v>28</v>
      </c>
      <c r="I188" s="8"/>
      <c r="J188" s="9" t="s">
        <v>22</v>
      </c>
      <c r="K188" s="36" t="s">
        <v>170</v>
      </c>
      <c r="L188" s="36" t="s">
        <v>28</v>
      </c>
      <c r="M188" s="36" t="s">
        <v>28</v>
      </c>
      <c r="N188" s="36" t="s">
        <v>28</v>
      </c>
      <c r="O188" s="36" t="s">
        <v>28</v>
      </c>
      <c r="Q188" s="8"/>
      <c r="R188" s="9" t="s">
        <v>22</v>
      </c>
      <c r="S188" s="36" t="s">
        <v>170</v>
      </c>
      <c r="T188" s="36" t="s">
        <v>28</v>
      </c>
      <c r="U188" s="36" t="s">
        <v>28</v>
      </c>
      <c r="V188" s="36" t="s">
        <v>28</v>
      </c>
      <c r="W188" s="36" t="s">
        <v>28</v>
      </c>
      <c r="Y188" s="8"/>
      <c r="Z188" s="9" t="s">
        <v>22</v>
      </c>
      <c r="AA188" s="36" t="s">
        <v>170</v>
      </c>
      <c r="AB188" s="36" t="s">
        <v>28</v>
      </c>
      <c r="AC188" s="36" t="s">
        <v>28</v>
      </c>
      <c r="AD188" s="36" t="s">
        <v>28</v>
      </c>
      <c r="AE188" s="36" t="s">
        <v>28</v>
      </c>
      <c r="AG188" s="8"/>
      <c r="AH188" s="9" t="s">
        <v>22</v>
      </c>
      <c r="AI188" s="36" t="s">
        <v>170</v>
      </c>
      <c r="AJ188" s="36" t="s">
        <v>28</v>
      </c>
      <c r="AK188" s="36" t="s">
        <v>28</v>
      </c>
      <c r="AL188" s="36" t="s">
        <v>28</v>
      </c>
      <c r="AM188" s="36" t="s">
        <v>28</v>
      </c>
      <c r="AO188" s="8"/>
      <c r="AP188" s="9" t="s">
        <v>22</v>
      </c>
      <c r="AQ188" s="36" t="s">
        <v>170</v>
      </c>
      <c r="AR188" s="36" t="s">
        <v>28</v>
      </c>
      <c r="AS188" s="36" t="s">
        <v>28</v>
      </c>
      <c r="AT188" s="36" t="s">
        <v>28</v>
      </c>
      <c r="AU188" s="36" t="s">
        <v>28</v>
      </c>
    </row>
    <row r="189" spans="1:60" s="4" customFormat="1" ht="10.5">
      <c r="A189" s="12"/>
      <c r="B189" s="13">
        <f t="shared" ref="B189:B218" si="99">B152</f>
        <v>2015</v>
      </c>
      <c r="C189" s="78">
        <f>C152+D152</f>
        <v>37855.331503576374</v>
      </c>
      <c r="D189" s="78">
        <f ca="1">C189*Zalozenia!$C$501/1000000*Zalozenia!$D$501*Zalozenia!$C563</f>
        <v>1013.8147648564974</v>
      </c>
      <c r="E189" s="78">
        <f ca="1">C189*Zalozenia!$C$501/1000000*Zalozenia!$E$501*Zalozenia!$D563</f>
        <v>2459.7756299533426</v>
      </c>
      <c r="F189" s="78">
        <f ca="1">C189*Zalozenia!$C$501/1000000*Zalozenia!$E563</f>
        <v>154.5757350778355</v>
      </c>
      <c r="G189" s="79">
        <f>SUM(D189:F189)</f>
        <v>3628.1661298876752</v>
      </c>
      <c r="I189" s="12"/>
      <c r="J189" s="13">
        <f>B189</f>
        <v>2015</v>
      </c>
      <c r="K189" s="78">
        <f>L152+M152</f>
        <v>112478.27324866365</v>
      </c>
      <c r="L189" s="78">
        <f ca="1">K189*Zalozenia!$C$501/1000000*Zalozenia!$D$501*Zalozenia!$C563</f>
        <v>3012.3137115913423</v>
      </c>
      <c r="M189" s="78">
        <f ca="1">K189*Zalozenia!$C$501/1000000*Zalozenia!$E$501*Zalozenia!$D563</f>
        <v>7308.6485957772529</v>
      </c>
      <c r="N189" s="78">
        <f ca="1">K189*Zalozenia!$C$501/1000000*Zalozenia!$E563</f>
        <v>459.28568254791929</v>
      </c>
      <c r="O189" s="79">
        <f>SUM(L189:N189)</f>
        <v>10780.247989916514</v>
      </c>
      <c r="Q189" s="12"/>
      <c r="R189" s="13">
        <f>J189</f>
        <v>2015</v>
      </c>
      <c r="S189" s="78">
        <f>U152+V152</f>
        <v>69774.005115360007</v>
      </c>
      <c r="T189" s="78">
        <f ca="1">S189*Zalozenia!$C$501/1000000*Zalozenia!$D$501*Zalozenia!$C563</f>
        <v>1868.6381489603862</v>
      </c>
      <c r="U189" s="78">
        <f ca="1">S189*Zalozenia!$C$501/1000000*Zalozenia!$E$501*Zalozenia!$D563</f>
        <v>4533.797237273905</v>
      </c>
      <c r="V189" s="78">
        <f ca="1">S189*Zalozenia!$C$501/1000000*Zalozenia!$E563</f>
        <v>284.91014875969273</v>
      </c>
      <c r="W189" s="79">
        <f>SUM(T189:V189)</f>
        <v>6687.3455349939841</v>
      </c>
      <c r="Y189" s="12"/>
      <c r="Z189" s="13">
        <f>R189</f>
        <v>2015</v>
      </c>
      <c r="AA189" s="78">
        <f>AD152+AE152</f>
        <v>66045.684543930009</v>
      </c>
      <c r="AB189" s="78">
        <f ca="1">AA189*Zalozenia!$C$501/1000000*Zalozenia!$D$501*Zalozenia!$C563</f>
        <v>1768.7888993751108</v>
      </c>
      <c r="AC189" s="78">
        <f ca="1">AA189*Zalozenia!$C$501/1000000*Zalozenia!$E$501*Zalozenia!$D563</f>
        <v>4291.5372512164377</v>
      </c>
      <c r="AD189" s="78">
        <f ca="1">AA189*Zalozenia!$C$501/1000000*Zalozenia!$E563</f>
        <v>269.68619297739662</v>
      </c>
      <c r="AE189" s="79">
        <f>SUM(AB189:AD189)</f>
        <v>6330.0123435689457</v>
      </c>
      <c r="AG189" s="12"/>
      <c r="AH189" s="13">
        <f>Z189</f>
        <v>2015</v>
      </c>
      <c r="AI189" s="78">
        <f>AM152+AN152</f>
        <v>89788.904798899122</v>
      </c>
      <c r="AJ189" s="78">
        <f ca="1">AI189*Zalozenia!$C$501/1000000*Zalozenia!$D$501*Zalozenia!$C563</f>
        <v>2404.6630630303257</v>
      </c>
      <c r="AK189" s="78">
        <f ca="1">AI189*Zalozenia!$C$501/1000000*Zalozenia!$E$501*Zalozenia!$D563</f>
        <v>5834.3316804309852</v>
      </c>
      <c r="AL189" s="78">
        <f ca="1">AI189*Zalozenia!$C$501/1000000*Zalozenia!$E563</f>
        <v>366.63754905467914</v>
      </c>
      <c r="AM189" s="79">
        <f>SUM(AJ189:AL189)</f>
        <v>8605.6322925159911</v>
      </c>
      <c r="AO189" s="12"/>
      <c r="AP189" s="13">
        <f>AH189</f>
        <v>2015</v>
      </c>
      <c r="AQ189" s="78">
        <f>AV152+AW152</f>
        <v>0</v>
      </c>
      <c r="AR189" s="78">
        <f ca="1">AQ189*Zalozenia!$C$501/1000000*Zalozenia!$D$501*Zalozenia!$C563</f>
        <v>0</v>
      </c>
      <c r="AS189" s="78">
        <f ca="1">AQ189*Zalozenia!$C$501/1000000*Zalozenia!$E$501*Zalozenia!$D563</f>
        <v>0</v>
      </c>
      <c r="AT189" s="78">
        <f ca="1">AQ189*Zalozenia!$C$501/1000000*Zalozenia!$E563</f>
        <v>0</v>
      </c>
      <c r="AU189" s="79">
        <f>SUM(AR189:AT189)</f>
        <v>0</v>
      </c>
      <c r="AW189" s="23">
        <f>G189</f>
        <v>3628.1661298876752</v>
      </c>
      <c r="AX189" s="23">
        <f>O189</f>
        <v>10780.247989916514</v>
      </c>
      <c r="AY189" s="23">
        <f>W189</f>
        <v>6687.3455349939841</v>
      </c>
      <c r="AZ189" s="23">
        <f>AE189</f>
        <v>6330.0123435689457</v>
      </c>
      <c r="BA189" s="23">
        <f>AM189</f>
        <v>8605.6322925159911</v>
      </c>
      <c r="BB189" s="23">
        <f>AU189</f>
        <v>0</v>
      </c>
    </row>
    <row r="190" spans="1:60" s="4" customFormat="1" ht="10.5">
      <c r="A190" s="12"/>
      <c r="B190" s="13">
        <f t="shared" si="99"/>
        <v>2016</v>
      </c>
      <c r="C190" s="78">
        <f t="shared" ref="C190:C218" si="100">C153+D153</f>
        <v>38461.911546091098</v>
      </c>
      <c r="D190" s="78">
        <f ca="1">C190*Zalozenia!$C$501/1000000*Zalozenia!$D$501*Zalozenia!$C564</f>
        <v>1098.6790809331437</v>
      </c>
      <c r="E190" s="78">
        <f ca="1">C190*Zalozenia!$C$501/1000000*Zalozenia!$E$501*Zalozenia!$D564</f>
        <v>2677.8437195630195</v>
      </c>
      <c r="F190" s="78">
        <f ca="1">C190*Zalozenia!$C$501/1000000*Zalozenia!$E564</f>
        <v>169.04156279770913</v>
      </c>
      <c r="G190" s="79">
        <f t="shared" ref="G190:G218" si="101">SUM(D190:F190)</f>
        <v>3945.5643632938722</v>
      </c>
      <c r="I190" s="12"/>
      <c r="J190" s="13">
        <f t="shared" ref="J190:J218" si="102">B190</f>
        <v>2016</v>
      </c>
      <c r="K190" s="78">
        <f t="shared" ref="K190:K218" si="103">L153+M153</f>
        <v>114299.67029927731</v>
      </c>
      <c r="L190" s="78">
        <f ca="1">K190*Zalozenia!$C$501/1000000*Zalozenia!$D$501*Zalozenia!$C564</f>
        <v>3265.0134033219656</v>
      </c>
      <c r="M190" s="78">
        <f ca="1">K190*Zalozenia!$C$501/1000000*Zalozenia!$E$501*Zalozenia!$D564</f>
        <v>7957.915817373103</v>
      </c>
      <c r="N190" s="78">
        <f ca="1">K190*Zalozenia!$C$501/1000000*Zalozenia!$E564</f>
        <v>502.35139435279507</v>
      </c>
      <c r="O190" s="79">
        <f t="shared" ref="O190:O218" si="104">SUM(L190:N190)</f>
        <v>11725.280615047865</v>
      </c>
      <c r="Q190" s="12"/>
      <c r="R190" s="13">
        <f t="shared" ref="R190:R218" si="105">J190</f>
        <v>2016</v>
      </c>
      <c r="S190" s="78">
        <f t="shared" ref="S190:S218" si="106">U153+V153</f>
        <v>70611.336061812006</v>
      </c>
      <c r="T190" s="78">
        <f ca="1">S190*Zalozenia!$C$501/1000000*Zalozenia!$D$501*Zalozenia!$C564</f>
        <v>2017.0395773201597</v>
      </c>
      <c r="U190" s="78">
        <f ca="1">S190*Zalozenia!$C$501/1000000*Zalozenia!$E$501*Zalozenia!$D564</f>
        <v>4916.1915048471874</v>
      </c>
      <c r="V190" s="78">
        <f ca="1">S190*Zalozenia!$C$501/1000000*Zalozenia!$E564</f>
        <v>310.33950522243407</v>
      </c>
      <c r="W190" s="79">
        <f t="shared" ref="W190:W218" si="107">SUM(T190:V190)</f>
        <v>7243.5705873897814</v>
      </c>
      <c r="Y190" s="12"/>
      <c r="Z190" s="13">
        <f t="shared" ref="Z190:Z218" si="108">R190</f>
        <v>2016</v>
      </c>
      <c r="AA190" s="78">
        <f t="shared" ref="AA190:AA218" si="109">AD153+AE153</f>
        <v>67140.618294650747</v>
      </c>
      <c r="AB190" s="78">
        <f ca="1">AA190*Zalozenia!$C$501/1000000*Zalozenia!$D$501*Zalozenia!$C564</f>
        <v>1917.8972088491209</v>
      </c>
      <c r="AC190" s="78">
        <f ca="1">AA190*Zalozenia!$C$501/1000000*Zalozenia!$E$501*Zalozenia!$D564</f>
        <v>4674.5488146748339</v>
      </c>
      <c r="AD190" s="78">
        <f ca="1">AA190*Zalozenia!$C$501/1000000*Zalozenia!$E564</f>
        <v>295.08556874848517</v>
      </c>
      <c r="AE190" s="79">
        <f t="shared" ref="AE190:AE218" si="110">SUM(AB190:AD190)</f>
        <v>6887.5315922724403</v>
      </c>
      <c r="AG190" s="12"/>
      <c r="AH190" s="13">
        <f t="shared" ref="AH190:AH218" si="111">Z190</f>
        <v>2016</v>
      </c>
      <c r="AI190" s="78">
        <f t="shared" ref="AI190:AI218" si="112">AM153+AN153</f>
        <v>90862.737147000007</v>
      </c>
      <c r="AJ190" s="78">
        <f ca="1">AI190*Zalozenia!$C$501/1000000*Zalozenia!$D$501*Zalozenia!$C564</f>
        <v>2595.5285248915675</v>
      </c>
      <c r="AK190" s="78">
        <f ca="1">AI190*Zalozenia!$C$501/1000000*Zalozenia!$E$501*Zalozenia!$D564</f>
        <v>6326.1600952885501</v>
      </c>
      <c r="AL190" s="78">
        <f ca="1">AI190*Zalozenia!$C$501/1000000*Zalozenia!$E564</f>
        <v>399.34518254507657</v>
      </c>
      <c r="AM190" s="79">
        <f t="shared" ref="AM190:AM218" si="113">SUM(AJ190:AL190)</f>
        <v>9321.0338027251928</v>
      </c>
      <c r="AO190" s="12"/>
      <c r="AP190" s="13">
        <f t="shared" ref="AP190:AP218" si="114">AH190</f>
        <v>2016</v>
      </c>
      <c r="AQ190" s="78">
        <f t="shared" ref="AQ190:AQ218" si="115">AV153+AW153</f>
        <v>0</v>
      </c>
      <c r="AR190" s="78">
        <f ca="1">AQ190*Zalozenia!$C$501/1000000*Zalozenia!$D$501*Zalozenia!$C564</f>
        <v>0</v>
      </c>
      <c r="AS190" s="78">
        <f ca="1">AQ190*Zalozenia!$C$501/1000000*Zalozenia!$E$501*Zalozenia!$D564</f>
        <v>0</v>
      </c>
      <c r="AT190" s="78">
        <f ca="1">AQ190*Zalozenia!$C$501/1000000*Zalozenia!$E564</f>
        <v>0</v>
      </c>
      <c r="AU190" s="79">
        <f t="shared" ref="AU190:AU218" si="116">SUM(AR190:AT190)</f>
        <v>0</v>
      </c>
      <c r="AW190" s="23">
        <f t="shared" ref="AW190:AW218" si="117">G190</f>
        <v>3945.5643632938722</v>
      </c>
      <c r="AX190" s="23">
        <f t="shared" ref="AX190:AX218" si="118">O190</f>
        <v>11725.280615047865</v>
      </c>
      <c r="AY190" s="23">
        <f t="shared" ref="AY190:AY218" si="119">W190</f>
        <v>7243.5705873897814</v>
      </c>
      <c r="AZ190" s="23">
        <f t="shared" ref="AZ190:AZ218" si="120">AE190</f>
        <v>6887.5315922724403</v>
      </c>
      <c r="BA190" s="23">
        <f t="shared" ref="BA190:BA218" si="121">AM190</f>
        <v>9321.0338027251928</v>
      </c>
      <c r="BB190" s="23">
        <f t="shared" ref="BB190:BB218" si="122">AU190</f>
        <v>0</v>
      </c>
    </row>
    <row r="191" spans="1:60" s="4" customFormat="1" ht="10.5">
      <c r="A191" s="12"/>
      <c r="B191" s="13">
        <f t="shared" si="99"/>
        <v>2017</v>
      </c>
      <c r="C191" s="78">
        <f t="shared" si="100"/>
        <v>39068.491588605822</v>
      </c>
      <c r="D191" s="78">
        <f ca="1">C191*Zalozenia!$C$501/1000000*Zalozenia!$D$501*Zalozenia!$C565</f>
        <v>1185.706909095494</v>
      </c>
      <c r="E191" s="78">
        <f ca="1">C191*Zalozenia!$C$501/1000000*Zalozenia!$E$501*Zalozenia!$D565</f>
        <v>2901.5468734791125</v>
      </c>
      <c r="F191" s="78">
        <f ca="1">C191*Zalozenia!$C$501/1000000*Zalozenia!$E565</f>
        <v>183.88554464768728</v>
      </c>
      <c r="G191" s="79">
        <f t="shared" si="101"/>
        <v>4271.139327222294</v>
      </c>
      <c r="I191" s="12"/>
      <c r="J191" s="13">
        <f t="shared" si="102"/>
        <v>2017</v>
      </c>
      <c r="K191" s="78">
        <f t="shared" si="103"/>
        <v>116121.06734989092</v>
      </c>
      <c r="L191" s="78">
        <f ca="1">K191*Zalozenia!$C$501/1000000*Zalozenia!$D$501*Zalozenia!$C565</f>
        <v>3524.2095676011277</v>
      </c>
      <c r="M191" s="78">
        <f ca="1">K191*Zalozenia!$C$501/1000000*Zalozenia!$E$501*Zalozenia!$D565</f>
        <v>8624.1036245279047</v>
      </c>
      <c r="N191" s="78">
        <f ca="1">K191*Zalozenia!$C$501/1000000*Zalozenia!$E565</f>
        <v>546.55260150696427</v>
      </c>
      <c r="O191" s="79">
        <f t="shared" si="104"/>
        <v>12694.865793635998</v>
      </c>
      <c r="Q191" s="12"/>
      <c r="R191" s="13">
        <f t="shared" si="105"/>
        <v>2017</v>
      </c>
      <c r="S191" s="78">
        <f t="shared" si="106"/>
        <v>71448.667008264019</v>
      </c>
      <c r="T191" s="78">
        <f ca="1">S191*Zalozenia!$C$501/1000000*Zalozenia!$D$501*Zalozenia!$C565</f>
        <v>2168.4271563243396</v>
      </c>
      <c r="U191" s="78">
        <f ca="1">S191*Zalozenia!$C$501/1000000*Zalozenia!$E$501*Zalozenia!$D565</f>
        <v>5306.3644881682685</v>
      </c>
      <c r="V191" s="78">
        <f ca="1">S191*Zalozenia!$C$501/1000000*Zalozenia!$E565</f>
        <v>336.29087054381262</v>
      </c>
      <c r="W191" s="79">
        <f t="shared" si="107"/>
        <v>7811.0825150364217</v>
      </c>
      <c r="Y191" s="12"/>
      <c r="Z191" s="13">
        <f t="shared" si="108"/>
        <v>2017</v>
      </c>
      <c r="AA191" s="78">
        <f t="shared" si="109"/>
        <v>68235.552045371456</v>
      </c>
      <c r="AB191" s="78">
        <f ca="1">AA191*Zalozenia!$C$501/1000000*Zalozenia!$D$501*Zalozenia!$C565</f>
        <v>2070.9109109740598</v>
      </c>
      <c r="AC191" s="78">
        <f ca="1">AA191*Zalozenia!$C$501/1000000*Zalozenia!$E$501*Zalozenia!$D565</f>
        <v>5067.7321966305817</v>
      </c>
      <c r="AD191" s="78">
        <f ca="1">AA191*Zalozenia!$C$501/1000000*Zalozenia!$E565</f>
        <v>321.167548118448</v>
      </c>
      <c r="AE191" s="79">
        <f t="shared" si="110"/>
        <v>7459.8106557230894</v>
      </c>
      <c r="AG191" s="12"/>
      <c r="AH191" s="13">
        <f t="shared" si="111"/>
        <v>2017</v>
      </c>
      <c r="AI191" s="78">
        <f t="shared" si="112"/>
        <v>91936.569495100935</v>
      </c>
      <c r="AJ191" s="78">
        <f ca="1">AI191*Zalozenia!$C$501/1000000*Zalozenia!$D$501*Zalozenia!$C565</f>
        <v>2790.2235590961873</v>
      </c>
      <c r="AK191" s="78">
        <f ca="1">AI191*Zalozenia!$C$501/1000000*Zalozenia!$E$501*Zalozenia!$D565</f>
        <v>6827.9642988495698</v>
      </c>
      <c r="AL191" s="78">
        <f ca="1">AI191*Zalozenia!$C$501/1000000*Zalozenia!$E565</f>
        <v>432.72226459792728</v>
      </c>
      <c r="AM191" s="79">
        <f t="shared" si="113"/>
        <v>10050.910122543684</v>
      </c>
      <c r="AO191" s="12"/>
      <c r="AP191" s="13">
        <f t="shared" si="114"/>
        <v>2017</v>
      </c>
      <c r="AQ191" s="78">
        <f t="shared" si="115"/>
        <v>0</v>
      </c>
      <c r="AR191" s="78">
        <f ca="1">AQ191*Zalozenia!$C$501/1000000*Zalozenia!$D$501*Zalozenia!$C565</f>
        <v>0</v>
      </c>
      <c r="AS191" s="78">
        <f ca="1">AQ191*Zalozenia!$C$501/1000000*Zalozenia!$E$501*Zalozenia!$D565</f>
        <v>0</v>
      </c>
      <c r="AT191" s="78">
        <f ca="1">AQ191*Zalozenia!$C$501/1000000*Zalozenia!$E565</f>
        <v>0</v>
      </c>
      <c r="AU191" s="79">
        <f t="shared" si="116"/>
        <v>0</v>
      </c>
      <c r="AW191" s="23">
        <f t="shared" si="117"/>
        <v>4271.139327222294</v>
      </c>
      <c r="AX191" s="23">
        <f t="shared" si="118"/>
        <v>12694.865793635998</v>
      </c>
      <c r="AY191" s="23">
        <f t="shared" si="119"/>
        <v>7811.0825150364217</v>
      </c>
      <c r="AZ191" s="23">
        <f t="shared" si="120"/>
        <v>7459.8106557230894</v>
      </c>
      <c r="BA191" s="23">
        <f t="shared" si="121"/>
        <v>10050.910122543684</v>
      </c>
      <c r="BB191" s="23">
        <f t="shared" si="122"/>
        <v>0</v>
      </c>
    </row>
    <row r="192" spans="1:60" s="4" customFormat="1" ht="10.5">
      <c r="A192" s="12"/>
      <c r="B192" s="13">
        <f t="shared" si="99"/>
        <v>2018</v>
      </c>
      <c r="C192" s="78">
        <f t="shared" si="100"/>
        <v>39675.07163112054</v>
      </c>
      <c r="D192" s="78">
        <f ca="1">C192*Zalozenia!$C$501/1000000*Zalozenia!$D$501*Zalozenia!$C566</f>
        <v>1274.8986499127527</v>
      </c>
      <c r="E192" s="78">
        <f ca="1">C192*Zalozenia!$C$501/1000000*Zalozenia!$E$501*Zalozenia!$D566</f>
        <v>3130.8922845748593</v>
      </c>
      <c r="F192" s="78">
        <f ca="1">C192*Zalozenia!$C$501/1000000*Zalozenia!$E566</f>
        <v>199.10768062776989</v>
      </c>
      <c r="G192" s="79">
        <f t="shared" si="101"/>
        <v>4604.8986151153813</v>
      </c>
      <c r="I192" s="12"/>
      <c r="J192" s="13">
        <f t="shared" si="102"/>
        <v>2018</v>
      </c>
      <c r="K192" s="78">
        <f t="shared" si="103"/>
        <v>117942.46440050456</v>
      </c>
      <c r="L192" s="78">
        <f ca="1">K192*Zalozenia!$C$501/1000000*Zalozenia!$D$501*Zalozenia!$C566</f>
        <v>3789.9033939901533</v>
      </c>
      <c r="M192" s="78">
        <f ca="1">K192*Zalozenia!$C$501/1000000*Zalozenia!$E$501*Zalozenia!$D566</f>
        <v>9307.2333995646441</v>
      </c>
      <c r="N192" s="78">
        <f ca="1">K192*Zalozenia!$C$501/1000000*Zalozenia!$E566</f>
        <v>591.88930401042728</v>
      </c>
      <c r="O192" s="79">
        <f t="shared" si="104"/>
        <v>13689.026097565224</v>
      </c>
      <c r="Q192" s="12"/>
      <c r="R192" s="13">
        <f t="shared" si="105"/>
        <v>2018</v>
      </c>
      <c r="S192" s="78">
        <f t="shared" si="106"/>
        <v>72285.997954716018</v>
      </c>
      <c r="T192" s="78">
        <f ca="1">S192*Zalozenia!$C$501/1000000*Zalozenia!$D$501*Zalozenia!$C566</f>
        <v>2322.8016336529208</v>
      </c>
      <c r="U192" s="78">
        <f ca="1">S192*Zalozenia!$C$501/1000000*Zalozenia!$E$501*Zalozenia!$D566</f>
        <v>5704.3292922927612</v>
      </c>
      <c r="V192" s="78">
        <f ca="1">S192*Zalozenia!$C$501/1000000*Zalozenia!$E566</f>
        <v>362.7642447238282</v>
      </c>
      <c r="W192" s="79">
        <f t="shared" si="107"/>
        <v>8389.8951706695098</v>
      </c>
      <c r="Y192" s="12"/>
      <c r="Z192" s="13">
        <f t="shared" si="108"/>
        <v>2018</v>
      </c>
      <c r="AA192" s="78">
        <f t="shared" si="109"/>
        <v>69330.485796092195</v>
      </c>
      <c r="AB192" s="78">
        <f ca="1">AA192*Zalozenia!$C$501/1000000*Zalozenia!$D$501*Zalozenia!$C566</f>
        <v>2227.8307033956789</v>
      </c>
      <c r="AC192" s="78">
        <f ca="1">AA192*Zalozenia!$C$501/1000000*Zalozenia!$E$501*Zalozenia!$D566</f>
        <v>5471.0999663211278</v>
      </c>
      <c r="AD192" s="78">
        <f ca="1">AA192*Zalozenia!$C$501/1000000*Zalozenia!$E566</f>
        <v>347.93213108728526</v>
      </c>
      <c r="AE192" s="79">
        <f t="shared" si="110"/>
        <v>8046.8628008040923</v>
      </c>
      <c r="AG192" s="12"/>
      <c r="AH192" s="13">
        <f t="shared" si="111"/>
        <v>2018</v>
      </c>
      <c r="AI192" s="78">
        <f t="shared" si="112"/>
        <v>93010.401843201835</v>
      </c>
      <c r="AJ192" s="78">
        <f ca="1">AI192*Zalozenia!$C$501/1000000*Zalozenia!$D$501*Zalozenia!$C566</f>
        <v>2988.7491279216529</v>
      </c>
      <c r="AK192" s="78">
        <f ca="1">AI192*Zalozenia!$C$501/1000000*Zalozenia!$E$501*Zalozenia!$D566</f>
        <v>7339.7611533905983</v>
      </c>
      <c r="AL192" s="78">
        <f ca="1">AI192*Zalozenia!$C$501/1000000*Zalozenia!$E566</f>
        <v>466.76879521323093</v>
      </c>
      <c r="AM192" s="79">
        <f t="shared" si="113"/>
        <v>10795.279076525481</v>
      </c>
      <c r="AO192" s="12"/>
      <c r="AP192" s="13">
        <f t="shared" si="114"/>
        <v>2018</v>
      </c>
      <c r="AQ192" s="78">
        <f t="shared" si="115"/>
        <v>0</v>
      </c>
      <c r="AR192" s="78">
        <f ca="1">AQ192*Zalozenia!$C$501/1000000*Zalozenia!$D$501*Zalozenia!$C566</f>
        <v>0</v>
      </c>
      <c r="AS192" s="78">
        <f ca="1">AQ192*Zalozenia!$C$501/1000000*Zalozenia!$E$501*Zalozenia!$D566</f>
        <v>0</v>
      </c>
      <c r="AT192" s="78">
        <f ca="1">AQ192*Zalozenia!$C$501/1000000*Zalozenia!$E566</f>
        <v>0</v>
      </c>
      <c r="AU192" s="79">
        <f t="shared" si="116"/>
        <v>0</v>
      </c>
      <c r="AW192" s="23">
        <f t="shared" si="117"/>
        <v>4604.8986151153813</v>
      </c>
      <c r="AX192" s="23">
        <f t="shared" si="118"/>
        <v>13689.026097565224</v>
      </c>
      <c r="AY192" s="23">
        <f t="shared" si="119"/>
        <v>8389.8951706695098</v>
      </c>
      <c r="AZ192" s="23">
        <f t="shared" si="120"/>
        <v>8046.8628008040923</v>
      </c>
      <c r="BA192" s="23">
        <f t="shared" si="121"/>
        <v>10795.279076525481</v>
      </c>
      <c r="BB192" s="23">
        <f t="shared" si="122"/>
        <v>0</v>
      </c>
    </row>
    <row r="193" spans="1:54" s="4" customFormat="1" ht="10.5">
      <c r="A193" s="12"/>
      <c r="B193" s="13">
        <f t="shared" si="99"/>
        <v>2019</v>
      </c>
      <c r="C193" s="78">
        <f t="shared" si="100"/>
        <v>40281.651673635279</v>
      </c>
      <c r="D193" s="78">
        <f ca="1">C193*Zalozenia!$C$501/1000000*Zalozenia!$D$501*Zalozenia!$C567</f>
        <v>1366.255178693063</v>
      </c>
      <c r="E193" s="78">
        <f ca="1">C193*Zalozenia!$C$501/1000000*Zalozenia!$E$501*Zalozenia!$D567</f>
        <v>3365.8656770734256</v>
      </c>
      <c r="F193" s="78">
        <f ca="1">C193*Zalozenia!$C$501/1000000*Zalozenia!$E567</f>
        <v>214.70797073795717</v>
      </c>
      <c r="G193" s="79">
        <f t="shared" si="101"/>
        <v>4946.8288265044457</v>
      </c>
      <c r="I193" s="12"/>
      <c r="J193" s="13">
        <f t="shared" si="102"/>
        <v>2019</v>
      </c>
      <c r="K193" s="78">
        <f t="shared" si="103"/>
        <v>119763.86145111821</v>
      </c>
      <c r="L193" s="78">
        <f ca="1">K193*Zalozenia!$C$501/1000000*Zalozenia!$D$501*Zalozenia!$C567</f>
        <v>4062.0974843234849</v>
      </c>
      <c r="M193" s="78">
        <f ca="1">K193*Zalozenia!$C$501/1000000*Zalozenia!$E$501*Zalozenia!$D567</f>
        <v>10007.262708046668</v>
      </c>
      <c r="N193" s="78">
        <f ca="1">K193*Zalozenia!$C$501/1000000*Zalozenia!$E567</f>
        <v>638.36150186318378</v>
      </c>
      <c r="O193" s="79">
        <f t="shared" si="104"/>
        <v>14707.721694233338</v>
      </c>
      <c r="Q193" s="12"/>
      <c r="R193" s="13">
        <f t="shared" si="105"/>
        <v>2019</v>
      </c>
      <c r="S193" s="78">
        <f t="shared" si="106"/>
        <v>73123.328901168017</v>
      </c>
      <c r="T193" s="78">
        <f ca="1">S193*Zalozenia!$C$501/1000000*Zalozenia!$D$501*Zalozenia!$C567</f>
        <v>2480.1646070507527</v>
      </c>
      <c r="U193" s="78">
        <f ca="1">S193*Zalozenia!$C$501/1000000*Zalozenia!$E$501*Zalozenia!$D567</f>
        <v>6110.0598589129531</v>
      </c>
      <c r="V193" s="78">
        <f ca="1">S193*Zalozenia!$C$501/1000000*Zalozenia!$E567</f>
        <v>389.75962776248087</v>
      </c>
      <c r="W193" s="79">
        <f t="shared" si="107"/>
        <v>8979.984093726187</v>
      </c>
      <c r="Y193" s="12"/>
      <c r="Z193" s="13">
        <f t="shared" si="108"/>
        <v>2019</v>
      </c>
      <c r="AA193" s="78">
        <f t="shared" si="109"/>
        <v>70425.419546812933</v>
      </c>
      <c r="AB193" s="78">
        <f ca="1">AA193*Zalozenia!$C$501/1000000*Zalozenia!$D$501*Zalozenia!$C567</f>
        <v>2388.6581152887816</v>
      </c>
      <c r="AC193" s="78">
        <f ca="1">AA193*Zalozenia!$C$501/1000000*Zalozenia!$E$501*Zalozenia!$D567</f>
        <v>5884.6271837770782</v>
      </c>
      <c r="AD193" s="78">
        <f ca="1">AA193*Zalozenia!$C$501/1000000*Zalozenia!$E567</f>
        <v>375.37931765499678</v>
      </c>
      <c r="AE193" s="79">
        <f t="shared" si="110"/>
        <v>8648.6646167208564</v>
      </c>
      <c r="AG193" s="12"/>
      <c r="AH193" s="13">
        <f t="shared" si="111"/>
        <v>2019</v>
      </c>
      <c r="AI193" s="78">
        <f t="shared" si="112"/>
        <v>94084.234191302734</v>
      </c>
      <c r="AJ193" s="78">
        <f ca="1">AI193*Zalozenia!$C$501/1000000*Zalozenia!$D$501*Zalozenia!$C567</f>
        <v>3191.1072872260343</v>
      </c>
      <c r="AK193" s="78">
        <f ca="1">AI193*Zalozenia!$C$501/1000000*Zalozenia!$E$501*Zalozenia!$D567</f>
        <v>7861.517129038446</v>
      </c>
      <c r="AL193" s="78">
        <f ca="1">AI193*Zalozenia!$C$501/1000000*Zalozenia!$E567</f>
        <v>501.4847743909877</v>
      </c>
      <c r="AM193" s="79">
        <f t="shared" si="113"/>
        <v>11554.109190655468</v>
      </c>
      <c r="AO193" s="12"/>
      <c r="AP193" s="13">
        <f t="shared" si="114"/>
        <v>2019</v>
      </c>
      <c r="AQ193" s="78">
        <f t="shared" si="115"/>
        <v>0</v>
      </c>
      <c r="AR193" s="78">
        <f ca="1">AQ193*Zalozenia!$C$501/1000000*Zalozenia!$D$501*Zalozenia!$C567</f>
        <v>0</v>
      </c>
      <c r="AS193" s="78">
        <f ca="1">AQ193*Zalozenia!$C$501/1000000*Zalozenia!$E$501*Zalozenia!$D567</f>
        <v>0</v>
      </c>
      <c r="AT193" s="78">
        <f ca="1">AQ193*Zalozenia!$C$501/1000000*Zalozenia!$E567</f>
        <v>0</v>
      </c>
      <c r="AU193" s="79">
        <f t="shared" si="116"/>
        <v>0</v>
      </c>
      <c r="AW193" s="23">
        <f t="shared" si="117"/>
        <v>4946.8288265044457</v>
      </c>
      <c r="AX193" s="23">
        <f t="shared" si="118"/>
        <v>14707.721694233338</v>
      </c>
      <c r="AY193" s="23">
        <f t="shared" si="119"/>
        <v>8979.984093726187</v>
      </c>
      <c r="AZ193" s="23">
        <f t="shared" si="120"/>
        <v>8648.6646167208564</v>
      </c>
      <c r="BA193" s="23">
        <f t="shared" si="121"/>
        <v>11554.109190655468</v>
      </c>
      <c r="BB193" s="23">
        <f t="shared" si="122"/>
        <v>0</v>
      </c>
    </row>
    <row r="194" spans="1:54" s="4" customFormat="1" ht="10.5">
      <c r="A194" s="12"/>
      <c r="B194" s="13">
        <f t="shared" si="99"/>
        <v>2020</v>
      </c>
      <c r="C194" s="78">
        <f t="shared" si="100"/>
        <v>40888.231716150003</v>
      </c>
      <c r="D194" s="78">
        <f ca="1">C194*Zalozenia!$C$501/1000000*Zalozenia!$D$501*Zalozenia!$C568</f>
        <v>1459.7774246861889</v>
      </c>
      <c r="E194" s="78">
        <f ca="1">C194*Zalozenia!$C$501/1000000*Zalozenia!$E$501*Zalozenia!$D568</f>
        <v>3606.4518954408513</v>
      </c>
      <c r="F194" s="78">
        <f ca="1">C194*Zalozenia!$C$501/1000000*Zalozenia!$E568</f>
        <v>230.68641497824893</v>
      </c>
      <c r="G194" s="79">
        <f t="shared" si="101"/>
        <v>5296.9157351052891</v>
      </c>
      <c r="I194" s="12"/>
      <c r="J194" s="13">
        <f t="shared" si="102"/>
        <v>2020</v>
      </c>
      <c r="K194" s="78">
        <f t="shared" si="103"/>
        <v>121585.25850173183</v>
      </c>
      <c r="L194" s="78">
        <f ca="1">K194*Zalozenia!$C$501/1000000*Zalozenia!$D$501*Zalozenia!$C568</f>
        <v>4340.7946024077819</v>
      </c>
      <c r="M194" s="78">
        <f ca="1">K194*Zalozenia!$C$501/1000000*Zalozenia!$E$501*Zalozenia!$D568</f>
        <v>10724.146473862837</v>
      </c>
      <c r="N194" s="78">
        <f ca="1">K194*Zalozenia!$C$501/1000000*Zalozenia!$E568</f>
        <v>685.96919506523375</v>
      </c>
      <c r="O194" s="79">
        <f t="shared" si="104"/>
        <v>15750.910271335852</v>
      </c>
      <c r="Q194" s="12"/>
      <c r="R194" s="13">
        <f t="shared" si="105"/>
        <v>2020</v>
      </c>
      <c r="S194" s="78">
        <f t="shared" si="106"/>
        <v>73960.659847620002</v>
      </c>
      <c r="T194" s="78">
        <f ca="1">S194*Zalozenia!$C$501/1000000*Zalozenia!$D$501*Zalozenia!$C568</f>
        <v>2640.5177487243977</v>
      </c>
      <c r="U194" s="78">
        <f ca="1">S194*Zalozenia!$C$501/1000000*Zalozenia!$E$501*Zalozenia!$D568</f>
        <v>6523.5289152930081</v>
      </c>
      <c r="V194" s="78">
        <f ca="1">S194*Zalozenia!$C$501/1000000*Zalozenia!$E568</f>
        <v>417.27701965977059</v>
      </c>
      <c r="W194" s="79">
        <f t="shared" si="107"/>
        <v>9581.3236836771757</v>
      </c>
      <c r="Y194" s="12"/>
      <c r="Z194" s="13">
        <f t="shared" si="108"/>
        <v>2020</v>
      </c>
      <c r="AA194" s="78">
        <f t="shared" si="109"/>
        <v>71520.353297533657</v>
      </c>
      <c r="AB194" s="78">
        <f ca="1">AA194*Zalozenia!$C$501/1000000*Zalozenia!$D$501*Zalozenia!$C568</f>
        <v>2553.3947731978515</v>
      </c>
      <c r="AC194" s="78">
        <f ca="1">AA194*Zalozenia!$C$501/1000000*Zalozenia!$E$501*Zalozenia!$D568</f>
        <v>6308.2873209850923</v>
      </c>
      <c r="AD194" s="78">
        <f ca="1">AA194*Zalozenia!$C$501/1000000*Zalozenia!$E568</f>
        <v>403.50910782158257</v>
      </c>
      <c r="AE194" s="79">
        <f t="shared" si="110"/>
        <v>9265.1912020045256</v>
      </c>
      <c r="AG194" s="12"/>
      <c r="AH194" s="13">
        <f t="shared" si="111"/>
        <v>2020</v>
      </c>
      <c r="AI194" s="78">
        <f t="shared" si="112"/>
        <v>95158.066539403662</v>
      </c>
      <c r="AJ194" s="78">
        <f ca="1">AI194*Zalozenia!$C$501/1000000*Zalozenia!$D$501*Zalozenia!$C568</f>
        <v>3397.3001883605853</v>
      </c>
      <c r="AK194" s="78">
        <f ca="1">AI194*Zalozenia!$C$501/1000000*Zalozenia!$E$501*Zalozenia!$D568</f>
        <v>8393.1971384805274</v>
      </c>
      <c r="AL194" s="78">
        <f ca="1">AI194*Zalozenia!$C$501/1000000*Zalozenia!$E568</f>
        <v>536.87020213119763</v>
      </c>
      <c r="AM194" s="79">
        <f t="shared" si="113"/>
        <v>12327.367528972311</v>
      </c>
      <c r="AO194" s="12"/>
      <c r="AP194" s="13">
        <f t="shared" si="114"/>
        <v>2020</v>
      </c>
      <c r="AQ194" s="78">
        <f t="shared" si="115"/>
        <v>0</v>
      </c>
      <c r="AR194" s="78">
        <f ca="1">AQ194*Zalozenia!$C$501/1000000*Zalozenia!$D$501*Zalozenia!$C568</f>
        <v>0</v>
      </c>
      <c r="AS194" s="78">
        <f ca="1">AQ194*Zalozenia!$C$501/1000000*Zalozenia!$E$501*Zalozenia!$D568</f>
        <v>0</v>
      </c>
      <c r="AT194" s="78">
        <f ca="1">AQ194*Zalozenia!$C$501/1000000*Zalozenia!$E568</f>
        <v>0</v>
      </c>
      <c r="AU194" s="79">
        <f t="shared" si="116"/>
        <v>0</v>
      </c>
      <c r="AW194" s="23">
        <f t="shared" si="117"/>
        <v>5296.9157351052891</v>
      </c>
      <c r="AX194" s="23">
        <f t="shared" si="118"/>
        <v>15750.910271335852</v>
      </c>
      <c r="AY194" s="23">
        <f t="shared" si="119"/>
        <v>9581.3236836771757</v>
      </c>
      <c r="AZ194" s="23">
        <f t="shared" si="120"/>
        <v>9265.1912020045256</v>
      </c>
      <c r="BA194" s="23">
        <f t="shared" si="121"/>
        <v>12327.367528972311</v>
      </c>
      <c r="BB194" s="23">
        <f t="shared" si="122"/>
        <v>0</v>
      </c>
    </row>
    <row r="195" spans="1:54" s="4" customFormat="1" ht="10.5">
      <c r="A195" s="12"/>
      <c r="B195" s="13">
        <f t="shared" si="99"/>
        <v>2021</v>
      </c>
      <c r="C195" s="78">
        <f t="shared" si="100"/>
        <v>41494.811758664735</v>
      </c>
      <c r="D195" s="78">
        <f ca="1">C195*Zalozenia!$C$501/1000000*Zalozenia!$D$501*Zalozenia!$C569</f>
        <v>1555.4622198017391</v>
      </c>
      <c r="E195" s="78">
        <f ca="1">C195*Zalozenia!$C$501/1000000*Zalozenia!$E$501*Zalozenia!$D569</f>
        <v>3852.695086643329</v>
      </c>
      <c r="F195" s="78">
        <f ca="1">C195*Zalozenia!$C$501/1000000*Zalozenia!$E569</f>
        <v>247.04301334864525</v>
      </c>
      <c r="G195" s="79">
        <f t="shared" si="101"/>
        <v>5655.2003197937129</v>
      </c>
      <c r="I195" s="12"/>
      <c r="J195" s="13">
        <f t="shared" si="102"/>
        <v>2021</v>
      </c>
      <c r="K195" s="78">
        <f t="shared" si="103"/>
        <v>123406.65555234549</v>
      </c>
      <c r="L195" s="78">
        <f ca="1">K195*Zalozenia!$C$501/1000000*Zalozenia!$D$501*Zalozenia!$C569</f>
        <v>4625.9853280013258</v>
      </c>
      <c r="M195" s="78">
        <f ca="1">K195*Zalozenia!$C$501/1000000*Zalozenia!$E$501*Zalozenia!$D569</f>
        <v>11458.015962834836</v>
      </c>
      <c r="N195" s="78">
        <f ca="1">K195*Zalozenia!$C$501/1000000*Zalozenia!$E569</f>
        <v>734.71238361657743</v>
      </c>
      <c r="O195" s="79">
        <f t="shared" si="104"/>
        <v>16818.713674452738</v>
      </c>
      <c r="Q195" s="12"/>
      <c r="R195" s="13">
        <f t="shared" si="105"/>
        <v>2021</v>
      </c>
      <c r="S195" s="78">
        <f t="shared" si="106"/>
        <v>74797.990794072</v>
      </c>
      <c r="T195" s="78">
        <f ca="1">S195*Zalozenia!$C$501/1000000*Zalozenia!$D$501*Zalozenia!$C569</f>
        <v>2803.8553222973137</v>
      </c>
      <c r="U195" s="78">
        <f ca="1">S195*Zalozenia!$C$501/1000000*Zalozenia!$E$501*Zalozenia!$D569</f>
        <v>6944.8164579982486</v>
      </c>
      <c r="V195" s="78">
        <f ca="1">S195*Zalozenia!$C$501/1000000*Zalozenia!$E569</f>
        <v>445.31642041569745</v>
      </c>
      <c r="W195" s="79">
        <f t="shared" si="107"/>
        <v>10193.988200711261</v>
      </c>
      <c r="Y195" s="12"/>
      <c r="Z195" s="13">
        <f t="shared" si="108"/>
        <v>2021</v>
      </c>
      <c r="AA195" s="78">
        <f t="shared" si="109"/>
        <v>72615.28704825438</v>
      </c>
      <c r="AB195" s="78">
        <f ca="1">AA195*Zalozenia!$C$501/1000000*Zalozenia!$D$501*Zalozenia!$C569</f>
        <v>2722.0351363573191</v>
      </c>
      <c r="AC195" s="78">
        <f ca="1">AA195*Zalozenia!$C$501/1000000*Zalozenia!$E$501*Zalozenia!$D569</f>
        <v>6742.1575799192678</v>
      </c>
      <c r="AD195" s="78">
        <f ca="1">AA195*Zalozenia!$C$501/1000000*Zalozenia!$E569</f>
        <v>432.32150158704263</v>
      </c>
      <c r="AE195" s="79">
        <f t="shared" si="110"/>
        <v>9896.5142178636288</v>
      </c>
      <c r="AG195" s="12"/>
      <c r="AH195" s="13">
        <f t="shared" si="111"/>
        <v>2021</v>
      </c>
      <c r="AI195" s="78">
        <f t="shared" si="112"/>
        <v>96231.898887504562</v>
      </c>
      <c r="AJ195" s="78">
        <f ca="1">AI195*Zalozenia!$C$501/1000000*Zalozenia!$D$501*Zalozenia!$C569</f>
        <v>3607.3204508040189</v>
      </c>
      <c r="AK195" s="78">
        <f ca="1">AI195*Zalozenia!$C$501/1000000*Zalozenia!$E$501*Zalozenia!$D569</f>
        <v>8934.9041074955076</v>
      </c>
      <c r="AL195" s="78">
        <f ca="1">AI195*Zalozenia!$C$501/1000000*Zalozenia!$E569</f>
        <v>572.92507843386045</v>
      </c>
      <c r="AM195" s="79">
        <f t="shared" si="113"/>
        <v>13115.149636733388</v>
      </c>
      <c r="AO195" s="12"/>
      <c r="AP195" s="13">
        <f t="shared" si="114"/>
        <v>2021</v>
      </c>
      <c r="AQ195" s="78">
        <f t="shared" si="115"/>
        <v>0</v>
      </c>
      <c r="AR195" s="78">
        <f ca="1">AQ195*Zalozenia!$C$501/1000000*Zalozenia!$D$501*Zalozenia!$C569</f>
        <v>0</v>
      </c>
      <c r="AS195" s="78">
        <f ca="1">AQ195*Zalozenia!$C$501/1000000*Zalozenia!$E$501*Zalozenia!$D569</f>
        <v>0</v>
      </c>
      <c r="AT195" s="78">
        <f ca="1">AQ195*Zalozenia!$C$501/1000000*Zalozenia!$E569</f>
        <v>0</v>
      </c>
      <c r="AU195" s="79">
        <f t="shared" si="116"/>
        <v>0</v>
      </c>
      <c r="AW195" s="23">
        <f t="shared" si="117"/>
        <v>5655.2003197937129</v>
      </c>
      <c r="AX195" s="23">
        <f t="shared" si="118"/>
        <v>16818.713674452738</v>
      </c>
      <c r="AY195" s="23">
        <f t="shared" si="119"/>
        <v>10193.988200711261</v>
      </c>
      <c r="AZ195" s="23">
        <f t="shared" si="120"/>
        <v>9896.5142178636288</v>
      </c>
      <c r="BA195" s="23">
        <f t="shared" si="121"/>
        <v>13115.149636733388</v>
      </c>
      <c r="BB195" s="23">
        <f t="shared" si="122"/>
        <v>0</v>
      </c>
    </row>
    <row r="196" spans="1:54" s="4" customFormat="1" ht="10.5">
      <c r="A196" s="12"/>
      <c r="B196" s="13">
        <f t="shared" si="99"/>
        <v>2022</v>
      </c>
      <c r="C196" s="78">
        <f t="shared" si="100"/>
        <v>42101.391801179467</v>
      </c>
      <c r="D196" s="78">
        <f ca="1">C196*Zalozenia!$C$501/1000000*Zalozenia!$D$501*Zalozenia!$C570</f>
        <v>1653.3118231084493</v>
      </c>
      <c r="E196" s="78">
        <f ca="1">C196*Zalozenia!$C$501/1000000*Zalozenia!$E$501*Zalozenia!$D570</f>
        <v>4104.5733421522227</v>
      </c>
      <c r="F196" s="78">
        <f ca="1">C196*Zalozenia!$C$501/1000000*Zalozenia!$E570</f>
        <v>263.77776584914608</v>
      </c>
      <c r="G196" s="79">
        <f t="shared" si="101"/>
        <v>6021.6629311098177</v>
      </c>
      <c r="I196" s="12"/>
      <c r="J196" s="13">
        <f t="shared" si="102"/>
        <v>2022</v>
      </c>
      <c r="K196" s="78">
        <f t="shared" si="103"/>
        <v>125228.05260295911</v>
      </c>
      <c r="L196" s="78">
        <f ca="1">K196*Zalozenia!$C$501/1000000*Zalozenia!$D$501*Zalozenia!$C570</f>
        <v>4917.6763782787557</v>
      </c>
      <c r="M196" s="78">
        <f ca="1">K196*Zalozenia!$C$501/1000000*Zalozenia!$E$501*Zalozenia!$D570</f>
        <v>12208.806037365786</v>
      </c>
      <c r="N196" s="78">
        <f ca="1">K196*Zalozenia!$C$501/1000000*Zalozenia!$E570</f>
        <v>784.59106751721447</v>
      </c>
      <c r="O196" s="79">
        <f t="shared" si="104"/>
        <v>17911.073483161759</v>
      </c>
      <c r="Q196" s="12"/>
      <c r="R196" s="13">
        <f t="shared" si="105"/>
        <v>2022</v>
      </c>
      <c r="S196" s="78">
        <f t="shared" si="106"/>
        <v>75635.321740524014</v>
      </c>
      <c r="T196" s="78">
        <f ca="1">S196*Zalozenia!$C$501/1000000*Zalozenia!$D$501*Zalozenia!$C570</f>
        <v>2970.1814198626253</v>
      </c>
      <c r="U196" s="78">
        <f ca="1">S196*Zalozenia!$C$501/1000000*Zalozenia!$E$501*Zalozenia!$D570</f>
        <v>7373.8827164512913</v>
      </c>
      <c r="V196" s="78">
        <f ca="1">S196*Zalozenia!$C$501/1000000*Zalozenia!$E570</f>
        <v>473.87783003026169</v>
      </c>
      <c r="W196" s="79">
        <f t="shared" si="107"/>
        <v>10817.941966344179</v>
      </c>
      <c r="Y196" s="12"/>
      <c r="Z196" s="13">
        <f t="shared" si="108"/>
        <v>2022</v>
      </c>
      <c r="AA196" s="78">
        <f t="shared" si="109"/>
        <v>73710.220798975104</v>
      </c>
      <c r="AB196" s="78">
        <f ca="1">AA196*Zalozenia!$C$501/1000000*Zalozenia!$D$501*Zalozenia!$C570</f>
        <v>2894.5831555018995</v>
      </c>
      <c r="AC196" s="78">
        <f ca="1">AA196*Zalozenia!$C$501/1000000*Zalozenia!$E$501*Zalozenia!$D570</f>
        <v>7186.1996573507959</v>
      </c>
      <c r="AD196" s="78">
        <f ca="1">AA196*Zalozenia!$C$501/1000000*Zalozenia!$E570</f>
        <v>461.81649895137707</v>
      </c>
      <c r="AE196" s="79">
        <f t="shared" si="110"/>
        <v>10542.599311804073</v>
      </c>
      <c r="AG196" s="12"/>
      <c r="AH196" s="13">
        <f t="shared" si="111"/>
        <v>2022</v>
      </c>
      <c r="AI196" s="78">
        <f t="shared" si="112"/>
        <v>97305.731235605475</v>
      </c>
      <c r="AJ196" s="78">
        <f ca="1">AI196*Zalozenia!$C$501/1000000*Zalozenia!$D$501*Zalozenia!$C570</f>
        <v>3821.1733395363121</v>
      </c>
      <c r="AK196" s="78">
        <f ca="1">AI196*Zalozenia!$C$501/1000000*Zalozenia!$E$501*Zalozenia!$D570</f>
        <v>9486.5868652139434</v>
      </c>
      <c r="AL196" s="78">
        <f ca="1">AI196*Zalozenia!$C$501/1000000*Zalozenia!$E570</f>
        <v>609.64940329897649</v>
      </c>
      <c r="AM196" s="79">
        <f t="shared" si="113"/>
        <v>13917.409608049231</v>
      </c>
      <c r="AO196" s="12"/>
      <c r="AP196" s="13">
        <f t="shared" si="114"/>
        <v>2022</v>
      </c>
      <c r="AQ196" s="78">
        <f t="shared" si="115"/>
        <v>0</v>
      </c>
      <c r="AR196" s="78">
        <f ca="1">AQ196*Zalozenia!$C$501/1000000*Zalozenia!$D$501*Zalozenia!$C570</f>
        <v>0</v>
      </c>
      <c r="AS196" s="78">
        <f ca="1">AQ196*Zalozenia!$C$501/1000000*Zalozenia!$E$501*Zalozenia!$D570</f>
        <v>0</v>
      </c>
      <c r="AT196" s="78">
        <f ca="1">AQ196*Zalozenia!$C$501/1000000*Zalozenia!$E570</f>
        <v>0</v>
      </c>
      <c r="AU196" s="79">
        <f t="shared" si="116"/>
        <v>0</v>
      </c>
      <c r="AW196" s="23">
        <f t="shared" si="117"/>
        <v>6021.6629311098177</v>
      </c>
      <c r="AX196" s="23">
        <f t="shared" si="118"/>
        <v>17911.073483161759</v>
      </c>
      <c r="AY196" s="23">
        <f t="shared" si="119"/>
        <v>10817.941966344179</v>
      </c>
      <c r="AZ196" s="23">
        <f t="shared" si="120"/>
        <v>10542.599311804073</v>
      </c>
      <c r="BA196" s="23">
        <f t="shared" si="121"/>
        <v>13917.409608049231</v>
      </c>
      <c r="BB196" s="23">
        <f t="shared" si="122"/>
        <v>0</v>
      </c>
    </row>
    <row r="197" spans="1:54" s="4" customFormat="1" ht="10.5">
      <c r="A197" s="12"/>
      <c r="B197" s="13">
        <f t="shared" si="99"/>
        <v>2023</v>
      </c>
      <c r="C197" s="78">
        <f t="shared" si="100"/>
        <v>42707.971843694184</v>
      </c>
      <c r="D197" s="78">
        <f ca="1">C197*Zalozenia!$C$501/1000000*Zalozenia!$D$501*Zalozenia!$C571</f>
        <v>1753.3272043123004</v>
      </c>
      <c r="E197" s="78">
        <f ca="1">C197*Zalozenia!$C$501/1000000*Zalozenia!$E$501*Zalozenia!$D571</f>
        <v>4362.0866619675317</v>
      </c>
      <c r="F197" s="78">
        <f ca="1">C197*Zalozenia!$C$501/1000000*Zalozenia!$E571</f>
        <v>280.8906724797514</v>
      </c>
      <c r="G197" s="79">
        <f t="shared" si="101"/>
        <v>6396.3045387595839</v>
      </c>
      <c r="I197" s="12"/>
      <c r="J197" s="13">
        <f t="shared" si="102"/>
        <v>2023</v>
      </c>
      <c r="K197" s="78">
        <f t="shared" si="103"/>
        <v>127049.44965357274</v>
      </c>
      <c r="L197" s="78">
        <f ca="1">K197*Zalozenia!$C$501/1000000*Zalozenia!$D$501*Zalozenia!$C571</f>
        <v>5215.8706385258929</v>
      </c>
      <c r="M197" s="78">
        <f ca="1">K197*Zalozenia!$C$501/1000000*Zalozenia!$E$501*Zalozenia!$D571</f>
        <v>12976.516697455691</v>
      </c>
      <c r="N197" s="78">
        <f ca="1">K197*Zalozenia!$C$501/1000000*Zalozenia!$E571</f>
        <v>835.6052467671451</v>
      </c>
      <c r="O197" s="79">
        <f t="shared" si="104"/>
        <v>19027.992582748728</v>
      </c>
      <c r="Q197" s="12"/>
      <c r="R197" s="13">
        <f t="shared" si="105"/>
        <v>2023</v>
      </c>
      <c r="S197" s="78">
        <f t="shared" si="106"/>
        <v>76472.652686975998</v>
      </c>
      <c r="T197" s="78">
        <f ca="1">S197*Zalozenia!$C$501/1000000*Zalozenia!$D$501*Zalozenia!$C571</f>
        <v>3139.4977694731765</v>
      </c>
      <c r="U197" s="78">
        <f ca="1">S197*Zalozenia!$C$501/1000000*Zalozenia!$E$501*Zalozenia!$D571</f>
        <v>7810.7276906521256</v>
      </c>
      <c r="V197" s="78">
        <f ca="1">S197*Zalozenia!$C$501/1000000*Zalozenia!$E571</f>
        <v>502.96124850346257</v>
      </c>
      <c r="W197" s="79">
        <f t="shared" si="107"/>
        <v>11453.186708628766</v>
      </c>
      <c r="Y197" s="12"/>
      <c r="Z197" s="13">
        <f t="shared" si="108"/>
        <v>2023</v>
      </c>
      <c r="AA197" s="78">
        <f t="shared" si="109"/>
        <v>74805.154549695842</v>
      </c>
      <c r="AB197" s="78">
        <f ca="1">AA197*Zalozenia!$C$501/1000000*Zalozenia!$D$501*Zalozenia!$C571</f>
        <v>3071.0405302033369</v>
      </c>
      <c r="AC197" s="78">
        <f ca="1">AA197*Zalozenia!$C$501/1000000*Zalozenia!$E$501*Zalozenia!$D571</f>
        <v>7640.4135532796818</v>
      </c>
      <c r="AD197" s="78">
        <f ca="1">AA197*Zalozenia!$C$501/1000000*Zalozenia!$E571</f>
        <v>491.99409991458595</v>
      </c>
      <c r="AE197" s="79">
        <f t="shared" si="110"/>
        <v>11203.448183397604</v>
      </c>
      <c r="AG197" s="12"/>
      <c r="AH197" s="13">
        <f t="shared" si="111"/>
        <v>2023</v>
      </c>
      <c r="AI197" s="78">
        <f t="shared" si="112"/>
        <v>98379.563583706375</v>
      </c>
      <c r="AJ197" s="78">
        <f ca="1">AI197*Zalozenia!$C$501/1000000*Zalozenia!$D$501*Zalozenia!$C571</f>
        <v>4038.8610775286065</v>
      </c>
      <c r="AK197" s="78">
        <f ca="1">AI197*Zalozenia!$C$501/1000000*Zalozenia!$E$501*Zalozenia!$D571</f>
        <v>10048.245411635829</v>
      </c>
      <c r="AL197" s="78">
        <f ca="1">AI197*Zalozenia!$C$501/1000000*Zalozenia!$E571</f>
        <v>647.04317672654543</v>
      </c>
      <c r="AM197" s="79">
        <f t="shared" si="113"/>
        <v>14734.149665890982</v>
      </c>
      <c r="AO197" s="12"/>
      <c r="AP197" s="13">
        <f t="shared" si="114"/>
        <v>2023</v>
      </c>
      <c r="AQ197" s="78">
        <f t="shared" si="115"/>
        <v>0</v>
      </c>
      <c r="AR197" s="78">
        <f ca="1">AQ197*Zalozenia!$C$501/1000000*Zalozenia!$D$501*Zalozenia!$C571</f>
        <v>0</v>
      </c>
      <c r="AS197" s="78">
        <f ca="1">AQ197*Zalozenia!$C$501/1000000*Zalozenia!$E$501*Zalozenia!$D571</f>
        <v>0</v>
      </c>
      <c r="AT197" s="78">
        <f ca="1">AQ197*Zalozenia!$C$501/1000000*Zalozenia!$E571</f>
        <v>0</v>
      </c>
      <c r="AU197" s="79">
        <f t="shared" si="116"/>
        <v>0</v>
      </c>
      <c r="AW197" s="23">
        <f t="shared" si="117"/>
        <v>6396.3045387595839</v>
      </c>
      <c r="AX197" s="23">
        <f t="shared" si="118"/>
        <v>19027.992582748728</v>
      </c>
      <c r="AY197" s="23">
        <f t="shared" si="119"/>
        <v>11453.186708628766</v>
      </c>
      <c r="AZ197" s="23">
        <f t="shared" si="120"/>
        <v>11203.448183397604</v>
      </c>
      <c r="BA197" s="23">
        <f t="shared" si="121"/>
        <v>14734.149665890982</v>
      </c>
      <c r="BB197" s="23">
        <f t="shared" si="122"/>
        <v>0</v>
      </c>
    </row>
    <row r="198" spans="1:54" s="4" customFormat="1" ht="10.5">
      <c r="A198" s="12"/>
      <c r="B198" s="13">
        <f t="shared" si="99"/>
        <v>2024</v>
      </c>
      <c r="C198" s="78">
        <f t="shared" si="100"/>
        <v>43314.551886208916</v>
      </c>
      <c r="D198" s="78">
        <f ca="1">C198*Zalozenia!$C$501/1000000*Zalozenia!$D$501*Zalozenia!$C572</f>
        <v>1855.505053726142</v>
      </c>
      <c r="E198" s="78">
        <f ca="1">C198*Zalozenia!$C$501/1000000*Zalozenia!$E$501*Zalozenia!$D572</f>
        <v>4625.2428987803378</v>
      </c>
      <c r="F198" s="78">
        <f ca="1">C198*Zalozenia!$C$501/1000000*Zalozenia!$E572</f>
        <v>298.3817332404613</v>
      </c>
      <c r="G198" s="79">
        <f t="shared" si="101"/>
        <v>6779.1296857469415</v>
      </c>
      <c r="I198" s="12"/>
      <c r="J198" s="13">
        <f t="shared" si="102"/>
        <v>2024</v>
      </c>
      <c r="K198" s="78">
        <f t="shared" si="103"/>
        <v>128870.84670418639</v>
      </c>
      <c r="L198" s="78">
        <f ca="1">K198*Zalozenia!$C$501/1000000*Zalozenia!$D$501*Zalozenia!$C572</f>
        <v>5520.5582633239546</v>
      </c>
      <c r="M198" s="78">
        <f ca="1">K198*Zalozenia!$C$501/1000000*Zalozenia!$E$501*Zalozenia!$D572</f>
        <v>13761.171306683404</v>
      </c>
      <c r="N198" s="78">
        <f ca="1">K198*Zalozenia!$C$501/1000000*Zalozenia!$E572</f>
        <v>887.75492136636944</v>
      </c>
      <c r="O198" s="79">
        <f t="shared" si="104"/>
        <v>20169.484491373729</v>
      </c>
      <c r="Q198" s="12"/>
      <c r="R198" s="13">
        <f t="shared" si="105"/>
        <v>2024</v>
      </c>
      <c r="S198" s="78">
        <f t="shared" si="106"/>
        <v>77309.983633427997</v>
      </c>
      <c r="T198" s="78">
        <f ca="1">S198*Zalozenia!$C$501/1000000*Zalozenia!$D$501*Zalozenia!$C572</f>
        <v>3311.7984392904282</v>
      </c>
      <c r="U198" s="78">
        <f ca="1">S198*Zalozenia!$C$501/1000000*Zalozenia!$E$501*Zalozenia!$D572</f>
        <v>8255.3653964774694</v>
      </c>
      <c r="V198" s="78">
        <f ca="1">S198*Zalozenia!$C$501/1000000*Zalozenia!$E572</f>
        <v>532.56667583530077</v>
      </c>
      <c r="W198" s="79">
        <f t="shared" si="107"/>
        <v>12099.730511603197</v>
      </c>
      <c r="Y198" s="12"/>
      <c r="Z198" s="13">
        <f t="shared" si="108"/>
        <v>2024</v>
      </c>
      <c r="AA198" s="78">
        <f t="shared" si="109"/>
        <v>75900.088300416552</v>
      </c>
      <c r="AB198" s="78">
        <f ca="1">AA198*Zalozenia!$C$501/1000000*Zalozenia!$D$501*Zalozenia!$C572</f>
        <v>3251.4014641006524</v>
      </c>
      <c r="AC198" s="78">
        <f ca="1">AA198*Zalozenia!$C$501/1000000*Zalozenia!$E$501*Zalozenia!$D572</f>
        <v>8104.8130279763191</v>
      </c>
      <c r="AD198" s="78">
        <f ca="1">AA198*Zalozenia!$C$501/1000000*Zalozenia!$E572</f>
        <v>522.85430447666886</v>
      </c>
      <c r="AE198" s="79">
        <f t="shared" si="110"/>
        <v>11879.06879655364</v>
      </c>
      <c r="AG198" s="12"/>
      <c r="AH198" s="13">
        <f t="shared" si="111"/>
        <v>2024</v>
      </c>
      <c r="AI198" s="78">
        <f t="shared" si="112"/>
        <v>99453.395931807288</v>
      </c>
      <c r="AJ198" s="78">
        <f ca="1">AI198*Zalozenia!$C$501/1000000*Zalozenia!$D$501*Zalozenia!$C572</f>
        <v>4260.3760335900088</v>
      </c>
      <c r="AK198" s="78">
        <f ca="1">AI198*Zalozenia!$C$501/1000000*Zalozenia!$E$501*Zalozenia!$D572</f>
        <v>10619.897777117276</v>
      </c>
      <c r="AL198" s="78">
        <f ca="1">AI198*Zalozenia!$C$501/1000000*Zalozenia!$E572</f>
        <v>685.10639871656758</v>
      </c>
      <c r="AM198" s="79">
        <f t="shared" si="113"/>
        <v>15565.380209423851</v>
      </c>
      <c r="AO198" s="12"/>
      <c r="AP198" s="13">
        <f t="shared" si="114"/>
        <v>2024</v>
      </c>
      <c r="AQ198" s="78">
        <f t="shared" si="115"/>
        <v>0</v>
      </c>
      <c r="AR198" s="78">
        <f ca="1">AQ198*Zalozenia!$C$501/1000000*Zalozenia!$D$501*Zalozenia!$C572</f>
        <v>0</v>
      </c>
      <c r="AS198" s="78">
        <f ca="1">AQ198*Zalozenia!$C$501/1000000*Zalozenia!$E$501*Zalozenia!$D572</f>
        <v>0</v>
      </c>
      <c r="AT198" s="78">
        <f ca="1">AQ198*Zalozenia!$C$501/1000000*Zalozenia!$E572</f>
        <v>0</v>
      </c>
      <c r="AU198" s="79">
        <f t="shared" si="116"/>
        <v>0</v>
      </c>
      <c r="AW198" s="23">
        <f t="shared" si="117"/>
        <v>6779.1296857469415</v>
      </c>
      <c r="AX198" s="23">
        <f t="shared" si="118"/>
        <v>20169.484491373729</v>
      </c>
      <c r="AY198" s="23">
        <f t="shared" si="119"/>
        <v>12099.730511603197</v>
      </c>
      <c r="AZ198" s="23">
        <f t="shared" si="120"/>
        <v>11879.06879655364</v>
      </c>
      <c r="BA198" s="23">
        <f t="shared" si="121"/>
        <v>15565.380209423851</v>
      </c>
      <c r="BB198" s="23">
        <f t="shared" si="122"/>
        <v>0</v>
      </c>
    </row>
    <row r="199" spans="1:54" s="4" customFormat="1" ht="10.5">
      <c r="A199" s="12"/>
      <c r="B199" s="13">
        <f t="shared" si="99"/>
        <v>2025</v>
      </c>
      <c r="C199" s="78">
        <f t="shared" si="100"/>
        <v>50195.579347112725</v>
      </c>
      <c r="D199" s="78">
        <f ca="1">C199*Zalozenia!$C$501/1000000*Zalozenia!$D$501*Zalozenia!$C573</f>
        <v>2239.8259789248582</v>
      </c>
      <c r="E199" s="78">
        <f ca="1">C199*Zalozenia!$C$501/1000000*Zalozenia!$E$501*Zalozenia!$D573</f>
        <v>5593.136693183129</v>
      </c>
      <c r="F199" s="78">
        <f ca="1">C199*Zalozenia!$C$501/1000000*Zalozenia!$E573</f>
        <v>361.43698356175679</v>
      </c>
      <c r="G199" s="79">
        <f t="shared" si="101"/>
        <v>8194.3996556697439</v>
      </c>
      <c r="I199" s="12"/>
      <c r="J199" s="13">
        <f t="shared" si="102"/>
        <v>2025</v>
      </c>
      <c r="K199" s="78">
        <f t="shared" si="103"/>
        <v>149362.56429120002</v>
      </c>
      <c r="L199" s="78">
        <f ca="1">K199*Zalozenia!$C$501/1000000*Zalozenia!$D$501*Zalozenia!$C573</f>
        <v>6664.8528840519803</v>
      </c>
      <c r="M199" s="78">
        <f ca="1">K199*Zalozenia!$C$501/1000000*Zalozenia!$E$501*Zalozenia!$D573</f>
        <v>16643.004220511863</v>
      </c>
      <c r="N199" s="78">
        <f ca="1">K199*Zalozenia!$C$501/1000000*Zalozenia!$E573</f>
        <v>1075.4961970085433</v>
      </c>
      <c r="O199" s="79">
        <f t="shared" si="104"/>
        <v>24383.353301572384</v>
      </c>
      <c r="Q199" s="12"/>
      <c r="R199" s="13">
        <f t="shared" si="105"/>
        <v>2025</v>
      </c>
      <c r="S199" s="78">
        <f t="shared" si="106"/>
        <v>89311.216662720006</v>
      </c>
      <c r="T199" s="78">
        <f ca="1">S199*Zalozenia!$C$501/1000000*Zalozenia!$D$501*Zalozenia!$C573</f>
        <v>3985.2430411693913</v>
      </c>
      <c r="U199" s="78">
        <f ca="1">S199*Zalozenia!$C$501/1000000*Zalozenia!$E$501*Zalozenia!$D573</f>
        <v>9951.6700380074599</v>
      </c>
      <c r="V199" s="78">
        <f ca="1">S199*Zalozenia!$C$501/1000000*Zalozenia!$E573</f>
        <v>643.09202460994845</v>
      </c>
      <c r="W199" s="79">
        <f t="shared" si="107"/>
        <v>14580.0051037868</v>
      </c>
      <c r="Y199" s="12"/>
      <c r="Z199" s="13">
        <f t="shared" si="108"/>
        <v>2025</v>
      </c>
      <c r="AA199" s="78">
        <f t="shared" si="109"/>
        <v>87994.310915585462</v>
      </c>
      <c r="AB199" s="78">
        <f ca="1">AA199*Zalozenia!$C$501/1000000*Zalozenia!$D$501*Zalozenia!$C573</f>
        <v>3926.480103424813</v>
      </c>
      <c r="AC199" s="78">
        <f ca="1">AA199*Zalozenia!$C$501/1000000*Zalozenia!$E$501*Zalozenia!$D573</f>
        <v>9804.9313420592152</v>
      </c>
      <c r="AD199" s="78">
        <f ca="1">AA199*Zalozenia!$C$501/1000000*Zalozenia!$E573</f>
        <v>633.60954732668085</v>
      </c>
      <c r="AE199" s="79">
        <f t="shared" si="110"/>
        <v>14365.020992810709</v>
      </c>
      <c r="AG199" s="12"/>
      <c r="AH199" s="13">
        <f t="shared" si="111"/>
        <v>2025</v>
      </c>
      <c r="AI199" s="78">
        <f t="shared" si="112"/>
        <v>114888.26089132365</v>
      </c>
      <c r="AJ199" s="78">
        <f ca="1">AI199*Zalozenia!$C$501/1000000*Zalozenia!$D$501*Zalozenia!$C573</f>
        <v>5126.5413162859586</v>
      </c>
      <c r="AK199" s="78">
        <f ca="1">AI199*Zalozenia!$C$501/1000000*Zalozenia!$E$501*Zalozenia!$D573</f>
        <v>12801.64022340785</v>
      </c>
      <c r="AL199" s="78">
        <f ca="1">AI199*Zalozenia!$C$501/1000000*Zalozenia!$E573</f>
        <v>827.26142427928175</v>
      </c>
      <c r="AM199" s="79">
        <f t="shared" si="113"/>
        <v>18755.442963973092</v>
      </c>
      <c r="AO199" s="12"/>
      <c r="AP199" s="13">
        <f t="shared" si="114"/>
        <v>2025</v>
      </c>
      <c r="AQ199" s="78">
        <f t="shared" si="115"/>
        <v>0</v>
      </c>
      <c r="AR199" s="78">
        <f ca="1">AQ199*Zalozenia!$C$501/1000000*Zalozenia!$D$501*Zalozenia!$C573</f>
        <v>0</v>
      </c>
      <c r="AS199" s="78">
        <f ca="1">AQ199*Zalozenia!$C$501/1000000*Zalozenia!$E$501*Zalozenia!$D573</f>
        <v>0</v>
      </c>
      <c r="AT199" s="78">
        <f ca="1">AQ199*Zalozenia!$C$501/1000000*Zalozenia!$E573</f>
        <v>0</v>
      </c>
      <c r="AU199" s="79">
        <f t="shared" si="116"/>
        <v>0</v>
      </c>
      <c r="AW199" s="23">
        <f t="shared" si="117"/>
        <v>8194.3996556697439</v>
      </c>
      <c r="AX199" s="23">
        <f t="shared" si="118"/>
        <v>24383.353301572384</v>
      </c>
      <c r="AY199" s="23">
        <f t="shared" si="119"/>
        <v>14580.0051037868</v>
      </c>
      <c r="AZ199" s="23">
        <f t="shared" si="120"/>
        <v>14365.020992810709</v>
      </c>
      <c r="BA199" s="23">
        <f t="shared" si="121"/>
        <v>18755.442963973092</v>
      </c>
      <c r="BB199" s="23">
        <f t="shared" si="122"/>
        <v>0</v>
      </c>
    </row>
    <row r="200" spans="1:54" s="4" customFormat="1" ht="10.5">
      <c r="A200" s="12"/>
      <c r="B200" s="13">
        <f t="shared" si="99"/>
        <v>2026</v>
      </c>
      <c r="C200" s="78">
        <f t="shared" si="100"/>
        <v>50563.499810871275</v>
      </c>
      <c r="D200" s="78">
        <f ca="1">C200*Zalozenia!$C$501/1000000*Zalozenia!$D$501*Zalozenia!$C574</f>
        <v>2346.4512102494896</v>
      </c>
      <c r="E200" s="78">
        <f ca="1">C200*Zalozenia!$C$501/1000000*Zalozenia!$E$501*Zalozenia!$D574</f>
        <v>5869.0068658052605</v>
      </c>
      <c r="F200" s="78">
        <f ca="1">C200*Zalozenia!$C$501/1000000*Zalozenia!$E574</f>
        <v>379.8473706132113</v>
      </c>
      <c r="G200" s="79">
        <f t="shared" si="101"/>
        <v>8595.3054466679623</v>
      </c>
      <c r="I200" s="12"/>
      <c r="J200" s="13">
        <f t="shared" si="102"/>
        <v>2026</v>
      </c>
      <c r="K200" s="78">
        <f t="shared" si="103"/>
        <v>150267.79195357094</v>
      </c>
      <c r="L200" s="78">
        <f ca="1">K200*Zalozenia!$C$501/1000000*Zalozenia!$D$501*Zalozenia!$C574</f>
        <v>6973.3314270141964</v>
      </c>
      <c r="M200" s="78">
        <f ca="1">K200*Zalozenia!$C$501/1000000*Zalozenia!$E$501*Zalozenia!$D574</f>
        <v>17441.884086023823</v>
      </c>
      <c r="N200" s="78">
        <f ca="1">K200*Zalozenia!$C$501/1000000*Zalozenia!$E574</f>
        <v>1128.8543292081397</v>
      </c>
      <c r="O200" s="79">
        <f t="shared" si="104"/>
        <v>25544.069842246161</v>
      </c>
      <c r="Q200" s="12"/>
      <c r="R200" s="13">
        <f t="shared" si="105"/>
        <v>2026</v>
      </c>
      <c r="S200" s="78">
        <f t="shared" si="106"/>
        <v>89787.44512857603</v>
      </c>
      <c r="T200" s="78">
        <f ca="1">S200*Zalozenia!$C$501/1000000*Zalozenia!$D$501*Zalozenia!$C574</f>
        <v>4166.6787321921047</v>
      </c>
      <c r="U200" s="78">
        <f ca="1">S200*Zalozenia!$C$501/1000000*Zalozenia!$E$501*Zalozenia!$D574</f>
        <v>10421.8088916667</v>
      </c>
      <c r="V200" s="78">
        <f ca="1">S200*Zalozenia!$C$501/1000000*Zalozenia!$E574</f>
        <v>674.50878744027955</v>
      </c>
      <c r="W200" s="79">
        <f t="shared" si="107"/>
        <v>15262.996411299084</v>
      </c>
      <c r="Y200" s="12"/>
      <c r="Z200" s="13">
        <f t="shared" si="108"/>
        <v>2026</v>
      </c>
      <c r="AA200" s="78">
        <f t="shared" si="109"/>
        <v>88532.453537594207</v>
      </c>
      <c r="AB200" s="78">
        <f ca="1">AA200*Zalozenia!$C$501/1000000*Zalozenia!$D$501*Zalozenia!$C574</f>
        <v>4108.4395567290348</v>
      </c>
      <c r="AC200" s="78">
        <f ca="1">AA200*Zalozenia!$C$501/1000000*Zalozenia!$E$501*Zalozenia!$D574</f>
        <v>10276.139499881116</v>
      </c>
      <c r="AD200" s="78">
        <f ca="1">AA200*Zalozenia!$C$501/1000000*Zalozenia!$E574</f>
        <v>665.08093419121235</v>
      </c>
      <c r="AE200" s="79">
        <f t="shared" si="110"/>
        <v>15049.659990801361</v>
      </c>
      <c r="AG200" s="12"/>
      <c r="AH200" s="13">
        <f t="shared" si="111"/>
        <v>2026</v>
      </c>
      <c r="AI200" s="78">
        <f t="shared" si="112"/>
        <v>115503.97721692585</v>
      </c>
      <c r="AJ200" s="78">
        <f ca="1">AI200*Zalozenia!$C$501/1000000*Zalozenia!$D$501*Zalozenia!$C574</f>
        <v>5360.0808516623729</v>
      </c>
      <c r="AK200" s="78">
        <f ca="1">AI200*Zalozenia!$C$501/1000000*Zalozenia!$E$501*Zalozenia!$D574</f>
        <v>13406.778364819664</v>
      </c>
      <c r="AL200" s="78">
        <f ca="1">AI200*Zalozenia!$C$501/1000000*Zalozenia!$E574</f>
        <v>867.69867998307654</v>
      </c>
      <c r="AM200" s="79">
        <f t="shared" si="113"/>
        <v>19634.557896465114</v>
      </c>
      <c r="AO200" s="12"/>
      <c r="AP200" s="13">
        <f t="shared" si="114"/>
        <v>2026</v>
      </c>
      <c r="AQ200" s="78">
        <f t="shared" si="115"/>
        <v>0</v>
      </c>
      <c r="AR200" s="78">
        <f ca="1">AQ200*Zalozenia!$C$501/1000000*Zalozenia!$D$501*Zalozenia!$C574</f>
        <v>0</v>
      </c>
      <c r="AS200" s="78">
        <f ca="1">AQ200*Zalozenia!$C$501/1000000*Zalozenia!$E$501*Zalozenia!$D574</f>
        <v>0</v>
      </c>
      <c r="AT200" s="78">
        <f ca="1">AQ200*Zalozenia!$C$501/1000000*Zalozenia!$E574</f>
        <v>0</v>
      </c>
      <c r="AU200" s="79">
        <f t="shared" si="116"/>
        <v>0</v>
      </c>
      <c r="AW200" s="23">
        <f t="shared" si="117"/>
        <v>8595.3054466679623</v>
      </c>
      <c r="AX200" s="23">
        <f t="shared" si="118"/>
        <v>25544.069842246161</v>
      </c>
      <c r="AY200" s="23">
        <f t="shared" si="119"/>
        <v>15262.996411299084</v>
      </c>
      <c r="AZ200" s="23">
        <f t="shared" si="120"/>
        <v>15049.659990801361</v>
      </c>
      <c r="BA200" s="23">
        <f t="shared" si="121"/>
        <v>19634.557896465114</v>
      </c>
      <c r="BB200" s="23">
        <f t="shared" si="122"/>
        <v>0</v>
      </c>
    </row>
    <row r="201" spans="1:54" s="4" customFormat="1" ht="10.5">
      <c r="A201" s="12"/>
      <c r="B201" s="13">
        <f t="shared" si="99"/>
        <v>2027</v>
      </c>
      <c r="C201" s="78">
        <f t="shared" si="100"/>
        <v>50931.420274629818</v>
      </c>
      <c r="D201" s="78">
        <f ca="1">C201*Zalozenia!$C$501/1000000*Zalozenia!$D$501*Zalozenia!$C575</f>
        <v>2454.3914843616744</v>
      </c>
      <c r="E201" s="78">
        <f ca="1">C201*Zalozenia!$C$501/1000000*Zalozenia!$E$501*Zalozenia!$D575</f>
        <v>6148.2858803578793</v>
      </c>
      <c r="F201" s="78">
        <f ca="1">C201*Zalozenia!$C$501/1000000*Zalozenia!$E575</f>
        <v>398.487126640182</v>
      </c>
      <c r="G201" s="79">
        <f t="shared" si="101"/>
        <v>9001.1644913597356</v>
      </c>
      <c r="I201" s="12"/>
      <c r="J201" s="13">
        <f t="shared" si="102"/>
        <v>2027</v>
      </c>
      <c r="K201" s="78">
        <f t="shared" si="103"/>
        <v>151173.01961594186</v>
      </c>
      <c r="L201" s="78">
        <f ca="1">K201*Zalozenia!$C$501/1000000*Zalozenia!$D$501*Zalozenia!$C575</f>
        <v>7285.046637417865</v>
      </c>
      <c r="M201" s="78">
        <f ca="1">K201*Zalozenia!$C$501/1000000*Zalozenia!$E$501*Zalozenia!$D575</f>
        <v>18249.146341963376</v>
      </c>
      <c r="N201" s="78">
        <f ca="1">K201*Zalozenia!$C$501/1000000*Zalozenia!$E575</f>
        <v>1182.7767984370112</v>
      </c>
      <c r="O201" s="79">
        <f t="shared" si="104"/>
        <v>26716.969777818253</v>
      </c>
      <c r="Q201" s="12"/>
      <c r="R201" s="13">
        <f t="shared" si="105"/>
        <v>2027</v>
      </c>
      <c r="S201" s="78">
        <f t="shared" si="106"/>
        <v>90263.673594432024</v>
      </c>
      <c r="T201" s="78">
        <f ca="1">S201*Zalozenia!$C$501/1000000*Zalozenia!$D$501*Zalozenia!$C575</f>
        <v>4349.817668990695</v>
      </c>
      <c r="U201" s="78">
        <f ca="1">S201*Zalozenia!$C$501/1000000*Zalozenia!$E$501*Zalozenia!$D575</f>
        <v>10896.355665665998</v>
      </c>
      <c r="V201" s="78">
        <f ca="1">S201*Zalozenia!$C$501/1000000*Zalozenia!$E575</f>
        <v>706.22244062079449</v>
      </c>
      <c r="W201" s="79">
        <f t="shared" si="107"/>
        <v>15952.39577527749</v>
      </c>
      <c r="Y201" s="12"/>
      <c r="Z201" s="13">
        <f t="shared" si="108"/>
        <v>2027</v>
      </c>
      <c r="AA201" s="78">
        <f t="shared" si="109"/>
        <v>89070.596159602923</v>
      </c>
      <c r="AB201" s="78">
        <f ca="1">AA201*Zalozenia!$C$501/1000000*Zalozenia!$D$501*Zalozenia!$C575</f>
        <v>4292.3231188595792</v>
      </c>
      <c r="AC201" s="78">
        <f ca="1">AA201*Zalozenia!$C$501/1000000*Zalozenia!$E$501*Zalozenia!$D575</f>
        <v>10752.330992739546</v>
      </c>
      <c r="AD201" s="78">
        <f ca="1">AA201*Zalozenia!$C$501/1000000*Zalozenia!$E575</f>
        <v>696.88780992915633</v>
      </c>
      <c r="AE201" s="79">
        <f t="shared" si="110"/>
        <v>15741.54192152828</v>
      </c>
      <c r="AG201" s="12"/>
      <c r="AH201" s="13">
        <f t="shared" si="111"/>
        <v>2027</v>
      </c>
      <c r="AI201" s="78">
        <f t="shared" si="112"/>
        <v>116119.69354252802</v>
      </c>
      <c r="AJ201" s="78">
        <f ca="1">AI201*Zalozenia!$C$501/1000000*Zalozenia!$D$501*Zalozenia!$C575</f>
        <v>5595.822489549445</v>
      </c>
      <c r="AK201" s="78">
        <f ca="1">AI201*Zalozenia!$C$501/1000000*Zalozenia!$E$501*Zalozenia!$D575</f>
        <v>14017.615617026853</v>
      </c>
      <c r="AL201" s="78">
        <f ca="1">AI201*Zalozenia!$C$501/1000000*Zalozenia!$E575</f>
        <v>908.51978555857795</v>
      </c>
      <c r="AM201" s="79">
        <f t="shared" si="113"/>
        <v>20521.957892134877</v>
      </c>
      <c r="AO201" s="12"/>
      <c r="AP201" s="13">
        <f t="shared" si="114"/>
        <v>2027</v>
      </c>
      <c r="AQ201" s="78">
        <f t="shared" si="115"/>
        <v>0</v>
      </c>
      <c r="AR201" s="78">
        <f ca="1">AQ201*Zalozenia!$C$501/1000000*Zalozenia!$D$501*Zalozenia!$C575</f>
        <v>0</v>
      </c>
      <c r="AS201" s="78">
        <f ca="1">AQ201*Zalozenia!$C$501/1000000*Zalozenia!$E$501*Zalozenia!$D575</f>
        <v>0</v>
      </c>
      <c r="AT201" s="78">
        <f ca="1">AQ201*Zalozenia!$C$501/1000000*Zalozenia!$E575</f>
        <v>0</v>
      </c>
      <c r="AU201" s="79">
        <f t="shared" si="116"/>
        <v>0</v>
      </c>
      <c r="AW201" s="23">
        <f t="shared" si="117"/>
        <v>9001.1644913597356</v>
      </c>
      <c r="AX201" s="23">
        <f t="shared" si="118"/>
        <v>26716.969777818253</v>
      </c>
      <c r="AY201" s="23">
        <f t="shared" si="119"/>
        <v>15952.39577527749</v>
      </c>
      <c r="AZ201" s="23">
        <f t="shared" si="120"/>
        <v>15741.54192152828</v>
      </c>
      <c r="BA201" s="23">
        <f t="shared" si="121"/>
        <v>20521.957892134877</v>
      </c>
      <c r="BB201" s="23">
        <f t="shared" si="122"/>
        <v>0</v>
      </c>
    </row>
    <row r="202" spans="1:54" s="4" customFormat="1" ht="10.5">
      <c r="A202" s="12"/>
      <c r="B202" s="13">
        <f t="shared" si="99"/>
        <v>2028</v>
      </c>
      <c r="C202" s="78">
        <f t="shared" si="100"/>
        <v>51299.34073838836</v>
      </c>
      <c r="D202" s="78">
        <f ca="1">C202*Zalozenia!$C$501/1000000*Zalozenia!$D$501*Zalozenia!$C576</f>
        <v>2563.6422884186477</v>
      </c>
      <c r="E202" s="78">
        <f ca="1">C202*Zalozenia!$C$501/1000000*Zalozenia!$E$501*Zalozenia!$D576</f>
        <v>6430.9828370246687</v>
      </c>
      <c r="F202" s="78">
        <f ca="1">C202*Zalozenia!$C$501/1000000*Zalozenia!$E576</f>
        <v>417.35625164266912</v>
      </c>
      <c r="G202" s="79">
        <f t="shared" si="101"/>
        <v>9411.9813770859837</v>
      </c>
      <c r="I202" s="12"/>
      <c r="J202" s="13">
        <f t="shared" si="102"/>
        <v>2028</v>
      </c>
      <c r="K202" s="78">
        <f t="shared" si="103"/>
        <v>152078.24727831275</v>
      </c>
      <c r="L202" s="78">
        <f ca="1">K202*Zalozenia!$C$501/1000000*Zalozenia!$D$501*Zalozenia!$C576</f>
        <v>7599.9851120800022</v>
      </c>
      <c r="M202" s="78">
        <f ca="1">K202*Zalozenia!$C$501/1000000*Zalozenia!$E$501*Zalozenia!$D576</f>
        <v>19064.818066945561</v>
      </c>
      <c r="N202" s="78">
        <f ca="1">K202*Zalozenia!$C$501/1000000*Zalozenia!$E576</f>
        <v>1237.2636046951582</v>
      </c>
      <c r="O202" s="79">
        <f t="shared" si="104"/>
        <v>27902.066783720722</v>
      </c>
      <c r="Q202" s="12"/>
      <c r="R202" s="13">
        <f t="shared" si="105"/>
        <v>2028</v>
      </c>
      <c r="S202" s="78">
        <f t="shared" si="106"/>
        <v>90739.902060288005</v>
      </c>
      <c r="T202" s="78">
        <f ca="1">S202*Zalozenia!$C$501/1000000*Zalozenia!$D$501*Zalozenia!$C576</f>
        <v>4534.6518458207556</v>
      </c>
      <c r="U202" s="78">
        <f ca="1">S202*Zalozenia!$C$501/1000000*Zalozenia!$E$501*Zalozenia!$D576</f>
        <v>11375.326551639897</v>
      </c>
      <c r="V202" s="78">
        <f ca="1">S202*Zalozenia!$C$501/1000000*Zalozenia!$E576</f>
        <v>738.23298415149327</v>
      </c>
      <c r="W202" s="79">
        <f t="shared" si="107"/>
        <v>16648.211381612145</v>
      </c>
      <c r="Y202" s="12"/>
      <c r="Z202" s="13">
        <f t="shared" si="108"/>
        <v>2028</v>
      </c>
      <c r="AA202" s="78">
        <f t="shared" si="109"/>
        <v>89608.738781611639</v>
      </c>
      <c r="AB202" s="78">
        <f ca="1">AA202*Zalozenia!$C$501/1000000*Zalozenia!$D$501*Zalozenia!$C576</f>
        <v>4478.1228929223244</v>
      </c>
      <c r="AC202" s="78">
        <f ca="1">AA202*Zalozenia!$C$501/1000000*Zalozenia!$E$501*Zalozenia!$D576</f>
        <v>11233.52177352125</v>
      </c>
      <c r="AD202" s="78">
        <f ca="1">AA202*Zalozenia!$C$501/1000000*Zalozenia!$E576</f>
        <v>729.03017454051303</v>
      </c>
      <c r="AE202" s="79">
        <f t="shared" si="110"/>
        <v>16440.674840984087</v>
      </c>
      <c r="AG202" s="12"/>
      <c r="AH202" s="13">
        <f t="shared" si="111"/>
        <v>2028</v>
      </c>
      <c r="AI202" s="78">
        <f t="shared" si="112"/>
        <v>116735.4098681302</v>
      </c>
      <c r="AJ202" s="78">
        <f ca="1">AI202*Zalozenia!$C$501/1000000*Zalozenia!$D$501*Zalozenia!$C576</f>
        <v>5833.7559310947199</v>
      </c>
      <c r="AK202" s="78">
        <f ca="1">AI202*Zalozenia!$C$501/1000000*Zalozenia!$E$501*Zalozenia!$D576</f>
        <v>14634.17280864203</v>
      </c>
      <c r="AL202" s="78">
        <f ca="1">AI202*Zalozenia!$C$501/1000000*Zalozenia!$E576</f>
        <v>949.7247410057862</v>
      </c>
      <c r="AM202" s="79">
        <f t="shared" si="113"/>
        <v>21417.653480742538</v>
      </c>
      <c r="AO202" s="12"/>
      <c r="AP202" s="13">
        <f t="shared" si="114"/>
        <v>2028</v>
      </c>
      <c r="AQ202" s="78">
        <f t="shared" si="115"/>
        <v>0</v>
      </c>
      <c r="AR202" s="78">
        <f ca="1">AQ202*Zalozenia!$C$501/1000000*Zalozenia!$D$501*Zalozenia!$C576</f>
        <v>0</v>
      </c>
      <c r="AS202" s="78">
        <f ca="1">AQ202*Zalozenia!$C$501/1000000*Zalozenia!$E$501*Zalozenia!$D576</f>
        <v>0</v>
      </c>
      <c r="AT202" s="78">
        <f ca="1">AQ202*Zalozenia!$C$501/1000000*Zalozenia!$E576</f>
        <v>0</v>
      </c>
      <c r="AU202" s="79">
        <f t="shared" si="116"/>
        <v>0</v>
      </c>
      <c r="AW202" s="23">
        <f t="shared" si="117"/>
        <v>9411.9813770859837</v>
      </c>
      <c r="AX202" s="23">
        <f t="shared" si="118"/>
        <v>27902.066783720722</v>
      </c>
      <c r="AY202" s="23">
        <f t="shared" si="119"/>
        <v>16648.211381612145</v>
      </c>
      <c r="AZ202" s="23">
        <f t="shared" si="120"/>
        <v>16440.674840984087</v>
      </c>
      <c r="BA202" s="23">
        <f t="shared" si="121"/>
        <v>21417.653480742538</v>
      </c>
      <c r="BB202" s="23">
        <f t="shared" si="122"/>
        <v>0</v>
      </c>
    </row>
    <row r="203" spans="1:54" s="4" customFormat="1" ht="10.5">
      <c r="A203" s="12"/>
      <c r="B203" s="13">
        <f t="shared" si="99"/>
        <v>2029</v>
      </c>
      <c r="C203" s="78">
        <f t="shared" si="100"/>
        <v>51667.261202146903</v>
      </c>
      <c r="D203" s="78">
        <f ca="1">C203*Zalozenia!$C$501/1000000*Zalozenia!$D$501*Zalozenia!$C577</f>
        <v>2674.2064449920276</v>
      </c>
      <c r="E203" s="78">
        <f ca="1">C203*Zalozenia!$C$501/1000000*Zalozenia!$E$501*Zalozenia!$D577</f>
        <v>6717.0977358056271</v>
      </c>
      <c r="F203" s="78">
        <f ca="1">C203*Zalozenia!$C$501/1000000*Zalozenia!$E577</f>
        <v>436.45474562067255</v>
      </c>
      <c r="G203" s="79">
        <f t="shared" si="101"/>
        <v>9827.758926418328</v>
      </c>
      <c r="I203" s="12"/>
      <c r="J203" s="13">
        <f t="shared" si="102"/>
        <v>2029</v>
      </c>
      <c r="K203" s="78">
        <f t="shared" si="103"/>
        <v>152983.47494068366</v>
      </c>
      <c r="L203" s="78">
        <f ca="1">K203*Zalozenia!$C$501/1000000*Zalozenia!$D$501*Zalozenia!$C577</f>
        <v>7918.155233021198</v>
      </c>
      <c r="M203" s="78">
        <f ca="1">K203*Zalozenia!$C$501/1000000*Zalozenia!$E$501*Zalozenia!$D577</f>
        <v>19888.899260970382</v>
      </c>
      <c r="N203" s="78">
        <f ca="1">K203*Zalozenia!$C$501/1000000*Zalozenia!$E577</f>
        <v>1292.3147479825802</v>
      </c>
      <c r="O203" s="79">
        <f t="shared" si="104"/>
        <v>29099.369241974156</v>
      </c>
      <c r="Q203" s="12"/>
      <c r="R203" s="13">
        <f t="shared" si="105"/>
        <v>2029</v>
      </c>
      <c r="S203" s="78">
        <f t="shared" si="106"/>
        <v>91216.130526144014</v>
      </c>
      <c r="T203" s="78">
        <f ca="1">S203*Zalozenia!$C$501/1000000*Zalozenia!$D$501*Zalozenia!$C577</f>
        <v>4721.1862689194068</v>
      </c>
      <c r="U203" s="78">
        <f ca="1">S203*Zalozenia!$C$501/1000000*Zalozenia!$E$501*Zalozenia!$D577</f>
        <v>11858.721549588407</v>
      </c>
      <c r="V203" s="78">
        <f ca="1">S203*Zalozenia!$C$501/1000000*Zalozenia!$E577</f>
        <v>770.54041803237624</v>
      </c>
      <c r="W203" s="79">
        <f t="shared" si="107"/>
        <v>17350.448236540189</v>
      </c>
      <c r="Y203" s="12"/>
      <c r="Z203" s="13">
        <f t="shared" si="108"/>
        <v>2029</v>
      </c>
      <c r="AA203" s="78">
        <f t="shared" si="109"/>
        <v>90146.881403620384</v>
      </c>
      <c r="AB203" s="78">
        <f ca="1">AA203*Zalozenia!$C$501/1000000*Zalozenia!$D$501*Zalozenia!$C577</f>
        <v>4665.8438174670746</v>
      </c>
      <c r="AC203" s="78">
        <f ca="1">AA203*Zalozenia!$C$501/1000000*Zalozenia!$E$501*Zalozenia!$D577</f>
        <v>11719.711842226228</v>
      </c>
      <c r="AD203" s="78">
        <f ca="1">AA203*Zalozenia!$C$501/1000000*Zalozenia!$E577</f>
        <v>761.50802802528244</v>
      </c>
      <c r="AE203" s="79">
        <f t="shared" si="110"/>
        <v>17147.063687718586</v>
      </c>
      <c r="AG203" s="12"/>
      <c r="AH203" s="13">
        <f t="shared" si="111"/>
        <v>2029</v>
      </c>
      <c r="AI203" s="78">
        <f t="shared" si="112"/>
        <v>117351.12619373237</v>
      </c>
      <c r="AJ203" s="78">
        <f ca="1">AI203*Zalozenia!$C$501/1000000*Zalozenia!$D$501*Zalozenia!$C577</f>
        <v>6073.8876165031143</v>
      </c>
      <c r="AK203" s="78">
        <f ca="1">AI203*Zalozenia!$C$501/1000000*Zalozenia!$E$501*Zalozenia!$D577</f>
        <v>15256.449939665197</v>
      </c>
      <c r="AL203" s="78">
        <f ca="1">AI203*Zalozenia!$C$501/1000000*Zalozenia!$E577</f>
        <v>991.31354632470152</v>
      </c>
      <c r="AM203" s="79">
        <f t="shared" si="113"/>
        <v>22321.651102493015</v>
      </c>
      <c r="AO203" s="12"/>
      <c r="AP203" s="13">
        <f t="shared" si="114"/>
        <v>2029</v>
      </c>
      <c r="AQ203" s="78">
        <f t="shared" si="115"/>
        <v>0</v>
      </c>
      <c r="AR203" s="78">
        <f ca="1">AQ203*Zalozenia!$C$501/1000000*Zalozenia!$D$501*Zalozenia!$C577</f>
        <v>0</v>
      </c>
      <c r="AS203" s="78">
        <f ca="1">AQ203*Zalozenia!$C$501/1000000*Zalozenia!$E$501*Zalozenia!$D577</f>
        <v>0</v>
      </c>
      <c r="AT203" s="78">
        <f ca="1">AQ203*Zalozenia!$C$501/1000000*Zalozenia!$E577</f>
        <v>0</v>
      </c>
      <c r="AU203" s="79">
        <f t="shared" si="116"/>
        <v>0</v>
      </c>
      <c r="AW203" s="23">
        <f t="shared" si="117"/>
        <v>9827.758926418328</v>
      </c>
      <c r="AX203" s="23">
        <f t="shared" si="118"/>
        <v>29099.369241974156</v>
      </c>
      <c r="AY203" s="23">
        <f t="shared" si="119"/>
        <v>17350.448236540189</v>
      </c>
      <c r="AZ203" s="23">
        <f t="shared" si="120"/>
        <v>17147.063687718586</v>
      </c>
      <c r="BA203" s="23">
        <f t="shared" si="121"/>
        <v>22321.651102493015</v>
      </c>
      <c r="BB203" s="23">
        <f t="shared" si="122"/>
        <v>0</v>
      </c>
    </row>
    <row r="204" spans="1:54" s="4" customFormat="1" ht="10.5">
      <c r="A204" s="12"/>
      <c r="B204" s="13">
        <f t="shared" si="99"/>
        <v>2030</v>
      </c>
      <c r="C204" s="78">
        <f t="shared" si="100"/>
        <v>52035.181665905453</v>
      </c>
      <c r="D204" s="78">
        <f ca="1">C204*Zalozenia!$C$501/1000000*Zalozenia!$D$501*Zalozenia!$C578</f>
        <v>2786.0851231902971</v>
      </c>
      <c r="E204" s="78">
        <f ca="1">C204*Zalozenia!$C$501/1000000*Zalozenia!$E$501*Zalozenia!$D578</f>
        <v>7006.6305767007561</v>
      </c>
      <c r="F204" s="78">
        <f ca="1">C204*Zalozenia!$C$501/1000000*Zalozenia!$E578</f>
        <v>455.78260857419247</v>
      </c>
      <c r="G204" s="79">
        <f t="shared" si="101"/>
        <v>10248.498308465247</v>
      </c>
      <c r="I204" s="12"/>
      <c r="J204" s="13">
        <f t="shared" si="102"/>
        <v>2030</v>
      </c>
      <c r="K204" s="78">
        <f t="shared" si="103"/>
        <v>153888.70260305455</v>
      </c>
      <c r="L204" s="78">
        <f ca="1">K204*Zalozenia!$C$501/1000000*Zalozenia!$D$501*Zalozenia!$C578</f>
        <v>8239.5604516616932</v>
      </c>
      <c r="M204" s="78">
        <f ca="1">K204*Zalozenia!$C$501/1000000*Zalozenia!$E$501*Zalozenia!$D578</f>
        <v>20721.389924037827</v>
      </c>
      <c r="N204" s="78">
        <f ca="1">K204*Zalozenia!$C$501/1000000*Zalozenia!$E578</f>
        <v>1347.9302282992774</v>
      </c>
      <c r="O204" s="79">
        <f t="shared" si="104"/>
        <v>30308.880603998794</v>
      </c>
      <c r="Q204" s="12"/>
      <c r="R204" s="13">
        <f t="shared" si="105"/>
        <v>2030</v>
      </c>
      <c r="S204" s="78">
        <f t="shared" si="106"/>
        <v>91692.358992000023</v>
      </c>
      <c r="T204" s="78">
        <f ca="1">S204*Zalozenia!$C$501/1000000*Zalozenia!$D$501*Zalozenia!$C578</f>
        <v>4909.422992659981</v>
      </c>
      <c r="U204" s="78">
        <f ca="1">S204*Zalozenia!$C$501/1000000*Zalozenia!$E$501*Zalozenia!$D578</f>
        <v>12346.540659511515</v>
      </c>
      <c r="V204" s="78">
        <f ca="1">S204*Zalozenia!$C$501/1000000*Zalozenia!$E578</f>
        <v>803.14474226344316</v>
      </c>
      <c r="W204" s="79">
        <f t="shared" si="107"/>
        <v>18059.108394434941</v>
      </c>
      <c r="Y204" s="12"/>
      <c r="Z204" s="13">
        <f t="shared" si="108"/>
        <v>2030</v>
      </c>
      <c r="AA204" s="78">
        <f t="shared" si="109"/>
        <v>90685.0240256291</v>
      </c>
      <c r="AB204" s="78">
        <f ca="1">AA204*Zalozenia!$C$501/1000000*Zalozenia!$D$501*Zalozenia!$C578</f>
        <v>4855.4879265369327</v>
      </c>
      <c r="AC204" s="78">
        <f ca="1">AA204*Zalozenia!$C$501/1000000*Zalozenia!$E$501*Zalozenia!$D578</f>
        <v>12210.901198854477</v>
      </c>
      <c r="AD204" s="78">
        <f ca="1">AA204*Zalozenia!$C$501/1000000*Zalozenia!$E578</f>
        <v>794.32137038346434</v>
      </c>
      <c r="AE204" s="79">
        <f t="shared" si="110"/>
        <v>17860.710495774874</v>
      </c>
      <c r="AG204" s="12"/>
      <c r="AH204" s="13">
        <f t="shared" si="111"/>
        <v>2030</v>
      </c>
      <c r="AI204" s="78">
        <f t="shared" si="112"/>
        <v>117966.84251933456</v>
      </c>
      <c r="AJ204" s="78">
        <f ca="1">AI204*Zalozenia!$C$501/1000000*Zalozenia!$D$501*Zalozenia!$C578</f>
        <v>6316.2201889303542</v>
      </c>
      <c r="AK204" s="78">
        <f ca="1">AI204*Zalozenia!$C$501/1000000*Zalozenia!$E$501*Zalozenia!$D578</f>
        <v>15884.447010096352</v>
      </c>
      <c r="AL204" s="78">
        <f ca="1">AI204*Zalozenia!$C$501/1000000*Zalozenia!$E578</f>
        <v>1033.2862015153237</v>
      </c>
      <c r="AM204" s="79">
        <f t="shared" si="113"/>
        <v>23233.953400542028</v>
      </c>
      <c r="AO204" s="12"/>
      <c r="AP204" s="13">
        <f t="shared" si="114"/>
        <v>2030</v>
      </c>
      <c r="AQ204" s="78">
        <f t="shared" si="115"/>
        <v>0</v>
      </c>
      <c r="AR204" s="78">
        <f ca="1">AQ204*Zalozenia!$C$501/1000000*Zalozenia!$D$501*Zalozenia!$C578</f>
        <v>0</v>
      </c>
      <c r="AS204" s="78">
        <f ca="1">AQ204*Zalozenia!$C$501/1000000*Zalozenia!$E$501*Zalozenia!$D578</f>
        <v>0</v>
      </c>
      <c r="AT204" s="78">
        <f ca="1">AQ204*Zalozenia!$C$501/1000000*Zalozenia!$E578</f>
        <v>0</v>
      </c>
      <c r="AU204" s="79">
        <f t="shared" si="116"/>
        <v>0</v>
      </c>
      <c r="AW204" s="23">
        <f t="shared" si="117"/>
        <v>10248.498308465247</v>
      </c>
      <c r="AX204" s="23">
        <f t="shared" si="118"/>
        <v>30308.880603998794</v>
      </c>
      <c r="AY204" s="23">
        <f t="shared" si="119"/>
        <v>18059.108394434941</v>
      </c>
      <c r="AZ204" s="23">
        <f t="shared" si="120"/>
        <v>17860.710495774874</v>
      </c>
      <c r="BA204" s="23">
        <f t="shared" si="121"/>
        <v>23233.953400542028</v>
      </c>
      <c r="BB204" s="23">
        <f t="shared" si="122"/>
        <v>0</v>
      </c>
    </row>
    <row r="205" spans="1:54" s="4" customFormat="1" ht="10.5">
      <c r="A205" s="12"/>
      <c r="B205" s="13">
        <f t="shared" si="99"/>
        <v>2031</v>
      </c>
      <c r="C205" s="78">
        <f t="shared" si="100"/>
        <v>52403.102129664003</v>
      </c>
      <c r="D205" s="78">
        <f ca="1">C205*Zalozenia!$C$501/1000000*Zalozenia!$D$501*Zalozenia!$C579</f>
        <v>2899.2742822560062</v>
      </c>
      <c r="E205" s="78">
        <f ca="1">C205*Zalozenia!$C$501/1000000*Zalozenia!$E$501*Zalozenia!$D579</f>
        <v>7299.5528585236352</v>
      </c>
      <c r="F205" s="78">
        <f ca="1">C205*Zalozenia!$C$501/1000000*Zalozenia!$E579</f>
        <v>475.31688794449582</v>
      </c>
      <c r="G205" s="79">
        <f t="shared" si="101"/>
        <v>10674.144028724138</v>
      </c>
      <c r="I205" s="12"/>
      <c r="J205" s="13">
        <f t="shared" si="102"/>
        <v>2031</v>
      </c>
      <c r="K205" s="78">
        <f t="shared" si="103"/>
        <v>154793.93026542547</v>
      </c>
      <c r="L205" s="78">
        <f ca="1">K205*Zalozenia!$C$501/1000000*Zalozenia!$D$501*Zalozenia!$C579</f>
        <v>8564.1888138112645</v>
      </c>
      <c r="M205" s="78">
        <f ca="1">K205*Zalozenia!$C$501/1000000*Zalozenia!$E$501*Zalozenia!$D579</f>
        <v>21562.205866272052</v>
      </c>
      <c r="N205" s="78">
        <f ca="1">K205*Zalozenia!$C$501/1000000*Zalozenia!$E579</f>
        <v>1404.0422459037941</v>
      </c>
      <c r="O205" s="79">
        <f t="shared" si="104"/>
        <v>31530.436925987109</v>
      </c>
      <c r="Q205" s="12"/>
      <c r="R205" s="13">
        <f t="shared" si="105"/>
        <v>2031</v>
      </c>
      <c r="S205" s="78">
        <f t="shared" si="106"/>
        <v>92168.587457856003</v>
      </c>
      <c r="T205" s="78">
        <f ca="1">S205*Zalozenia!$C$501/1000000*Zalozenia!$D$501*Zalozenia!$C579</f>
        <v>5099.354892907344</v>
      </c>
      <c r="U205" s="78">
        <f ca="1">S205*Zalozenia!$C$501/1000000*Zalozenia!$E$501*Zalozenia!$D579</f>
        <v>12838.733752428565</v>
      </c>
      <c r="V205" s="78">
        <f ca="1">S205*Zalozenia!$C$501/1000000*Zalozenia!$E579</f>
        <v>836.00558700338718</v>
      </c>
      <c r="W205" s="79">
        <f t="shared" si="107"/>
        <v>18774.094232339296</v>
      </c>
      <c r="Y205" s="12"/>
      <c r="Z205" s="13">
        <f t="shared" si="108"/>
        <v>2031</v>
      </c>
      <c r="AA205" s="78">
        <f t="shared" si="109"/>
        <v>91223.166647637845</v>
      </c>
      <c r="AB205" s="78">
        <f ca="1">AA205*Zalozenia!$C$501/1000000*Zalozenia!$D$501*Zalozenia!$C579</f>
        <v>5047.0481757555071</v>
      </c>
      <c r="AC205" s="78">
        <f ca="1">AA205*Zalozenia!$C$501/1000000*Zalozenia!$E$501*Zalozenia!$D579</f>
        <v>12707.040228624195</v>
      </c>
      <c r="AD205" s="78">
        <f ca="1">AA205*Zalozenia!$C$501/1000000*Zalozenia!$E579</f>
        <v>827.43024586806757</v>
      </c>
      <c r="AE205" s="79">
        <f t="shared" si="110"/>
        <v>18581.51865024777</v>
      </c>
      <c r="AG205" s="12"/>
      <c r="AH205" s="13">
        <f t="shared" si="111"/>
        <v>2031</v>
      </c>
      <c r="AI205" s="78">
        <f t="shared" si="112"/>
        <v>118582.55884493675</v>
      </c>
      <c r="AJ205" s="78">
        <f ca="1">AI205*Zalozenia!$C$501/1000000*Zalozenia!$D$501*Zalozenia!$C579</f>
        <v>6560.7444828846619</v>
      </c>
      <c r="AK205" s="78">
        <f ca="1">AI205*Zalozenia!$C$501/1000000*Zalozenia!$E$501*Zalozenia!$D579</f>
        <v>16518.0995248297</v>
      </c>
      <c r="AL205" s="78">
        <f ca="1">AI205*Zalozenia!$C$501/1000000*Zalozenia!$E579</f>
        <v>1075.5907674168789</v>
      </c>
      <c r="AM205" s="79">
        <f t="shared" si="113"/>
        <v>24154.434775131238</v>
      </c>
      <c r="AO205" s="12"/>
      <c r="AP205" s="13">
        <f t="shared" si="114"/>
        <v>2031</v>
      </c>
      <c r="AQ205" s="78">
        <f t="shared" si="115"/>
        <v>0</v>
      </c>
      <c r="AR205" s="78">
        <f ca="1">AQ205*Zalozenia!$C$501/1000000*Zalozenia!$D$501*Zalozenia!$C579</f>
        <v>0</v>
      </c>
      <c r="AS205" s="78">
        <f ca="1">AQ205*Zalozenia!$C$501/1000000*Zalozenia!$E$501*Zalozenia!$D579</f>
        <v>0</v>
      </c>
      <c r="AT205" s="78">
        <f ca="1">AQ205*Zalozenia!$C$501/1000000*Zalozenia!$E579</f>
        <v>0</v>
      </c>
      <c r="AU205" s="79">
        <f t="shared" si="116"/>
        <v>0</v>
      </c>
      <c r="AW205" s="23">
        <f t="shared" si="117"/>
        <v>10674.144028724138</v>
      </c>
      <c r="AX205" s="23">
        <f t="shared" si="118"/>
        <v>31530.436925987109</v>
      </c>
      <c r="AY205" s="23">
        <f t="shared" si="119"/>
        <v>18774.094232339296</v>
      </c>
      <c r="AZ205" s="23">
        <f t="shared" si="120"/>
        <v>18581.51865024777</v>
      </c>
      <c r="BA205" s="23">
        <f t="shared" si="121"/>
        <v>24154.434775131238</v>
      </c>
      <c r="BB205" s="23">
        <f t="shared" si="122"/>
        <v>0</v>
      </c>
    </row>
    <row r="206" spans="1:54" s="4" customFormat="1" ht="10.5">
      <c r="A206" s="12"/>
      <c r="B206" s="13">
        <f t="shared" si="99"/>
        <v>2032</v>
      </c>
      <c r="C206" s="78">
        <f t="shared" si="100"/>
        <v>52771.022593422553</v>
      </c>
      <c r="D206" s="78">
        <f ca="1">C206*Zalozenia!$C$501/1000000*Zalozenia!$D$501*Zalozenia!$C580</f>
        <v>3013.7768061074594</v>
      </c>
      <c r="E206" s="78">
        <f ca="1">C206*Zalozenia!$C$501/1000000*Zalozenia!$E$501*Zalozenia!$D580</f>
        <v>7595.9309506386453</v>
      </c>
      <c r="F206" s="78">
        <f ca="1">C206*Zalozenia!$C$501/1000000*Zalozenia!$E580</f>
        <v>495.10332769988526</v>
      </c>
      <c r="G206" s="79">
        <f t="shared" si="101"/>
        <v>11104.811084445992</v>
      </c>
      <c r="I206" s="12"/>
      <c r="J206" s="13">
        <f t="shared" si="102"/>
        <v>2032</v>
      </c>
      <c r="K206" s="78">
        <f t="shared" si="103"/>
        <v>155699.15792779636</v>
      </c>
      <c r="L206" s="78">
        <f ca="1">K206*Zalozenia!$C$501/1000000*Zalozenia!$D$501*Zalozenia!$C580</f>
        <v>8892.0488524272405</v>
      </c>
      <c r="M206" s="78">
        <f ca="1">K206*Zalozenia!$C$501/1000000*Zalozenia!$E$501*Zalozenia!$D580</f>
        <v>22411.543202491088</v>
      </c>
      <c r="N206" s="78">
        <f ca="1">K206*Zalozenia!$C$501/1000000*Zalozenia!$E580</f>
        <v>1460.7860037893256</v>
      </c>
      <c r="O206" s="79">
        <f t="shared" si="104"/>
        <v>32764.378058707654</v>
      </c>
      <c r="Q206" s="12"/>
      <c r="R206" s="13">
        <f t="shared" si="105"/>
        <v>2032</v>
      </c>
      <c r="S206" s="78">
        <f t="shared" si="106"/>
        <v>92644.815923712013</v>
      </c>
      <c r="T206" s="78">
        <f ca="1">S206*Zalozenia!$C$501/1000000*Zalozenia!$D$501*Zalozenia!$C580</f>
        <v>5290.9870553044657</v>
      </c>
      <c r="U206" s="78">
        <f ca="1">S206*Zalozenia!$C$501/1000000*Zalozenia!$E$501*Zalozenia!$D580</f>
        <v>13335.417623285874</v>
      </c>
      <c r="V206" s="78">
        <f ca="1">S206*Zalozenia!$C$501/1000000*Zalozenia!$E580</f>
        <v>869.20348334675396</v>
      </c>
      <c r="W206" s="79">
        <f t="shared" si="107"/>
        <v>19495.608161937096</v>
      </c>
      <c r="Y206" s="12"/>
      <c r="Z206" s="13">
        <f t="shared" si="108"/>
        <v>2032</v>
      </c>
      <c r="AA206" s="78">
        <f t="shared" si="109"/>
        <v>91761.309269646561</v>
      </c>
      <c r="AB206" s="78">
        <f ca="1">AA206*Zalozenia!$C$501/1000000*Zalozenia!$D$501*Zalozenia!$C580</f>
        <v>5240.5295934019568</v>
      </c>
      <c r="AC206" s="78">
        <f ca="1">AA206*Zalozenia!$C$501/1000000*Zalozenia!$E$501*Zalozenia!$D580</f>
        <v>13208.244504234974</v>
      </c>
      <c r="AD206" s="78">
        <f ca="1">AA206*Zalozenia!$C$501/1000000*Zalozenia!$E580</f>
        <v>860.91433026660661</v>
      </c>
      <c r="AE206" s="79">
        <f t="shared" si="110"/>
        <v>19309.688427903537</v>
      </c>
      <c r="AG206" s="12"/>
      <c r="AH206" s="13">
        <f t="shared" si="111"/>
        <v>2032</v>
      </c>
      <c r="AI206" s="78">
        <f t="shared" si="112"/>
        <v>119198.27517053892</v>
      </c>
      <c r="AJ206" s="78">
        <f ca="1">AI206*Zalozenia!$C$501/1000000*Zalozenia!$D$501*Zalozenia!$C580</f>
        <v>6807.4670412348714</v>
      </c>
      <c r="AK206" s="78">
        <f ca="1">AI206*Zalozenia!$C$501/1000000*Zalozenia!$E$501*Zalozenia!$D580</f>
        <v>17157.557749193427</v>
      </c>
      <c r="AL206" s="78">
        <f ca="1">AI206*Zalozenia!$C$501/1000000*Zalozenia!$E580</f>
        <v>1118.330852667164</v>
      </c>
      <c r="AM206" s="79">
        <f t="shared" si="113"/>
        <v>25083.355643095463</v>
      </c>
      <c r="AO206" s="12"/>
      <c r="AP206" s="13">
        <f t="shared" si="114"/>
        <v>2032</v>
      </c>
      <c r="AQ206" s="78">
        <f t="shared" si="115"/>
        <v>0</v>
      </c>
      <c r="AR206" s="78">
        <f ca="1">AQ206*Zalozenia!$C$501/1000000*Zalozenia!$D$501*Zalozenia!$C580</f>
        <v>0</v>
      </c>
      <c r="AS206" s="78">
        <f ca="1">AQ206*Zalozenia!$C$501/1000000*Zalozenia!$E$501*Zalozenia!$D580</f>
        <v>0</v>
      </c>
      <c r="AT206" s="78">
        <f ca="1">AQ206*Zalozenia!$C$501/1000000*Zalozenia!$E580</f>
        <v>0</v>
      </c>
      <c r="AU206" s="79">
        <f t="shared" si="116"/>
        <v>0</v>
      </c>
      <c r="AW206" s="23">
        <f t="shared" si="117"/>
        <v>11104.811084445992</v>
      </c>
      <c r="AX206" s="23">
        <f t="shared" si="118"/>
        <v>32764.378058707654</v>
      </c>
      <c r="AY206" s="23">
        <f t="shared" si="119"/>
        <v>19495.608161937096</v>
      </c>
      <c r="AZ206" s="23">
        <f t="shared" si="120"/>
        <v>19309.688427903537</v>
      </c>
      <c r="BA206" s="23">
        <f t="shared" si="121"/>
        <v>25083.355643095463</v>
      </c>
      <c r="BB206" s="23">
        <f t="shared" si="122"/>
        <v>0</v>
      </c>
    </row>
    <row r="207" spans="1:54" s="4" customFormat="1" ht="10.5">
      <c r="A207" s="12"/>
      <c r="B207" s="13">
        <f t="shared" si="99"/>
        <v>2033</v>
      </c>
      <c r="C207" s="78">
        <f t="shared" si="100"/>
        <v>53138.943057181088</v>
      </c>
      <c r="D207" s="78">
        <f ca="1">C207*Zalozenia!$C$501/1000000*Zalozenia!$D$501*Zalozenia!$C581</f>
        <v>3129.5915256361727</v>
      </c>
      <c r="E207" s="78">
        <f ca="1">C207*Zalozenia!$C$501/1000000*Zalozenia!$E$501*Zalozenia!$D581</f>
        <v>7895.7174844723495</v>
      </c>
      <c r="F207" s="78">
        <f ca="1">C207*Zalozenia!$C$501/1000000*Zalozenia!$E581</f>
        <v>515.11913643079095</v>
      </c>
      <c r="G207" s="79">
        <f t="shared" si="101"/>
        <v>11540.428146539312</v>
      </c>
      <c r="I207" s="12"/>
      <c r="J207" s="13">
        <f t="shared" si="102"/>
        <v>2033</v>
      </c>
      <c r="K207" s="78">
        <f t="shared" si="103"/>
        <v>156604.38559016728</v>
      </c>
      <c r="L207" s="78">
        <f ca="1">K207*Zalozenia!$C$501/1000000*Zalozenia!$D$501*Zalozenia!$C581</f>
        <v>9223.1371160893814</v>
      </c>
      <c r="M207" s="78">
        <f ca="1">K207*Zalozenia!$C$501/1000000*Zalozenia!$E$501*Zalozenia!$D581</f>
        <v>23269.261944460803</v>
      </c>
      <c r="N207" s="78">
        <f ca="1">K207*Zalozenia!$C$501/1000000*Zalozenia!$E581</f>
        <v>1518.0940987041329</v>
      </c>
      <c r="O207" s="79">
        <f t="shared" si="104"/>
        <v>34010.493159254314</v>
      </c>
      <c r="Q207" s="12"/>
      <c r="R207" s="13">
        <f t="shared" si="105"/>
        <v>2033</v>
      </c>
      <c r="S207" s="78">
        <f t="shared" si="106"/>
        <v>93121.044389568022</v>
      </c>
      <c r="T207" s="78">
        <f ca="1">S207*Zalozenia!$C$501/1000000*Zalozenia!$D$501*Zalozenia!$C581</f>
        <v>5484.3174254780097</v>
      </c>
      <c r="U207" s="78">
        <f ca="1">S207*Zalozenia!$C$501/1000000*Zalozenia!$E$501*Zalozenia!$D581</f>
        <v>13836.508896457563</v>
      </c>
      <c r="V207" s="78">
        <f ca="1">S207*Zalozenia!$C$501/1000000*Zalozenia!$E581</f>
        <v>902.69827004030469</v>
      </c>
      <c r="W207" s="79">
        <f t="shared" si="107"/>
        <v>20223.524591975878</v>
      </c>
      <c r="Y207" s="12"/>
      <c r="Z207" s="13">
        <f t="shared" si="108"/>
        <v>2033</v>
      </c>
      <c r="AA207" s="78">
        <f t="shared" si="109"/>
        <v>92299.451891655277</v>
      </c>
      <c r="AB207" s="78">
        <f ca="1">AA207*Zalozenia!$C$501/1000000*Zalozenia!$D$501*Zalozenia!$C581</f>
        <v>5435.9301454331826</v>
      </c>
      <c r="AC207" s="78">
        <f ca="1">AA207*Zalozenia!$C$501/1000000*Zalozenia!$E$501*Zalozenia!$D581</f>
        <v>13714.431529508425</v>
      </c>
      <c r="AD207" s="78">
        <f ca="1">AA207*Zalozenia!$C$501/1000000*Zalozenia!$E581</f>
        <v>894.73390353855825</v>
      </c>
      <c r="AE207" s="79">
        <f t="shared" si="110"/>
        <v>20045.095578480166</v>
      </c>
      <c r="AG207" s="12"/>
      <c r="AH207" s="13">
        <f t="shared" si="111"/>
        <v>2033</v>
      </c>
      <c r="AI207" s="78">
        <f t="shared" si="112"/>
        <v>119813.99149614111</v>
      </c>
      <c r="AJ207" s="78">
        <f ca="1">AI207*Zalozenia!$C$501/1000000*Zalozenia!$D$501*Zalozenia!$C581</f>
        <v>7056.3852208252601</v>
      </c>
      <c r="AK207" s="78">
        <f ca="1">AI207*Zalozenia!$C$501/1000000*Zalozenia!$E$501*Zalozenia!$D581</f>
        <v>17802.714414596543</v>
      </c>
      <c r="AL207" s="78">
        <f ca="1">AI207*Zalozenia!$C$501/1000000*Zalozenia!$E581</f>
        <v>1161.4547877891564</v>
      </c>
      <c r="AM207" s="79">
        <f t="shared" si="113"/>
        <v>26020.554423210961</v>
      </c>
      <c r="AO207" s="12"/>
      <c r="AP207" s="13">
        <f t="shared" si="114"/>
        <v>2033</v>
      </c>
      <c r="AQ207" s="78">
        <f t="shared" si="115"/>
        <v>0</v>
      </c>
      <c r="AR207" s="78">
        <f ca="1">AQ207*Zalozenia!$C$501/1000000*Zalozenia!$D$501*Zalozenia!$C581</f>
        <v>0</v>
      </c>
      <c r="AS207" s="78">
        <f ca="1">AQ207*Zalozenia!$C$501/1000000*Zalozenia!$E$501*Zalozenia!$D581</f>
        <v>0</v>
      </c>
      <c r="AT207" s="78">
        <f ca="1">AQ207*Zalozenia!$C$501/1000000*Zalozenia!$E581</f>
        <v>0</v>
      </c>
      <c r="AU207" s="79">
        <f t="shared" si="116"/>
        <v>0</v>
      </c>
      <c r="AW207" s="23">
        <f t="shared" si="117"/>
        <v>11540.428146539312</v>
      </c>
      <c r="AX207" s="23">
        <f t="shared" si="118"/>
        <v>34010.493159254314</v>
      </c>
      <c r="AY207" s="23">
        <f t="shared" si="119"/>
        <v>20223.524591975878</v>
      </c>
      <c r="AZ207" s="23">
        <f t="shared" si="120"/>
        <v>20045.095578480166</v>
      </c>
      <c r="BA207" s="23">
        <f t="shared" si="121"/>
        <v>26020.554423210961</v>
      </c>
      <c r="BB207" s="23">
        <f t="shared" si="122"/>
        <v>0</v>
      </c>
    </row>
    <row r="208" spans="1:54" s="4" customFormat="1" ht="10.5">
      <c r="A208" s="12"/>
      <c r="B208" s="13">
        <f t="shared" si="99"/>
        <v>2034</v>
      </c>
      <c r="C208" s="78">
        <f t="shared" si="100"/>
        <v>53506.863520939631</v>
      </c>
      <c r="D208" s="78">
        <f ca="1">C208*Zalozenia!$C$501/1000000*Zalozenia!$D$501*Zalozenia!$C582</f>
        <v>3246.7214024662553</v>
      </c>
      <c r="E208" s="78">
        <f ca="1">C208*Zalozenia!$C$501/1000000*Zalozenia!$E$501*Zalozenia!$D582</f>
        <v>8198.9219604202244</v>
      </c>
      <c r="F208" s="78">
        <f ca="1">C208*Zalozenia!$C$501/1000000*Zalozenia!$E582</f>
        <v>535.364314137213</v>
      </c>
      <c r="G208" s="79">
        <f t="shared" si="101"/>
        <v>11981.007677023692</v>
      </c>
      <c r="I208" s="12"/>
      <c r="J208" s="13">
        <f t="shared" si="102"/>
        <v>2034</v>
      </c>
      <c r="K208" s="78">
        <f t="shared" si="103"/>
        <v>157509.61325253817</v>
      </c>
      <c r="L208" s="78">
        <f ca="1">K208*Zalozenia!$C$501/1000000*Zalozenia!$D$501*Zalozenia!$C582</f>
        <v>9557.4623289415667</v>
      </c>
      <c r="M208" s="78">
        <f ca="1">K208*Zalozenia!$C$501/1000000*Zalozenia!$E$501*Zalozenia!$D582</f>
        <v>24135.390155473149</v>
      </c>
      <c r="N208" s="78">
        <f ca="1">K208*Zalozenia!$C$501/1000000*Zalozenia!$E582</f>
        <v>1575.9665306482152</v>
      </c>
      <c r="O208" s="79">
        <f t="shared" si="104"/>
        <v>35268.819015062931</v>
      </c>
      <c r="Q208" s="12"/>
      <c r="R208" s="13">
        <f t="shared" si="105"/>
        <v>2034</v>
      </c>
      <c r="S208" s="78">
        <f t="shared" si="106"/>
        <v>93597.272855424002</v>
      </c>
      <c r="T208" s="78">
        <f ca="1">S208*Zalozenia!$C$501/1000000*Zalozenia!$D$501*Zalozenia!$C582</f>
        <v>5679.3511896516875</v>
      </c>
      <c r="U208" s="78">
        <f ca="1">S208*Zalozenia!$C$501/1000000*Zalozenia!$E$501*Zalozenia!$D582</f>
        <v>14342.024281603855</v>
      </c>
      <c r="V208" s="78">
        <f ca="1">S208*Zalozenia!$C$501/1000000*Zalozenia!$E582</f>
        <v>936.48994708403904</v>
      </c>
      <c r="W208" s="79">
        <f t="shared" si="107"/>
        <v>20957.865418339581</v>
      </c>
      <c r="Y208" s="12"/>
      <c r="Z208" s="13">
        <f t="shared" si="108"/>
        <v>2034</v>
      </c>
      <c r="AA208" s="78">
        <f t="shared" si="109"/>
        <v>92837.594513664008</v>
      </c>
      <c r="AB208" s="78">
        <f ca="1">AA208*Zalozenia!$C$501/1000000*Zalozenia!$D$501*Zalozenia!$C582</f>
        <v>5633.2549737855315</v>
      </c>
      <c r="AC208" s="78">
        <f ca="1">AA208*Zalozenia!$C$501/1000000*Zalozenia!$E$501*Zalozenia!$D582</f>
        <v>14225.617842705151</v>
      </c>
      <c r="AD208" s="78">
        <f ca="1">AA208*Zalozenia!$C$501/1000000*Zalozenia!$E582</f>
        <v>928.88896568392249</v>
      </c>
      <c r="AE208" s="79">
        <f t="shared" si="110"/>
        <v>20787.761782174606</v>
      </c>
      <c r="AG208" s="12"/>
      <c r="AH208" s="13">
        <f t="shared" si="111"/>
        <v>2034</v>
      </c>
      <c r="AI208" s="78">
        <f t="shared" si="112"/>
        <v>120429.70782174329</v>
      </c>
      <c r="AJ208" s="78">
        <f ca="1">AI208*Zalozenia!$C$501/1000000*Zalozenia!$D$501*Zalozenia!$C582</f>
        <v>7307.5056945656188</v>
      </c>
      <c r="AK208" s="78">
        <f ca="1">AI208*Zalozenia!$C$501/1000000*Zalozenia!$E$501*Zalozenia!$D582</f>
        <v>18453.591019407653</v>
      </c>
      <c r="AL208" s="78">
        <f ca="1">AI208*Zalozenia!$C$501/1000000*Zalozenia!$E582</f>
        <v>1204.9625727828559</v>
      </c>
      <c r="AM208" s="79">
        <f t="shared" si="113"/>
        <v>26966.059286756128</v>
      </c>
      <c r="AO208" s="12"/>
      <c r="AP208" s="13">
        <f t="shared" si="114"/>
        <v>2034</v>
      </c>
      <c r="AQ208" s="78">
        <f t="shared" si="115"/>
        <v>0</v>
      </c>
      <c r="AR208" s="78">
        <f ca="1">AQ208*Zalozenia!$C$501/1000000*Zalozenia!$D$501*Zalozenia!$C582</f>
        <v>0</v>
      </c>
      <c r="AS208" s="78">
        <f ca="1">AQ208*Zalozenia!$C$501/1000000*Zalozenia!$E$501*Zalozenia!$D582</f>
        <v>0</v>
      </c>
      <c r="AT208" s="78">
        <f ca="1">AQ208*Zalozenia!$C$501/1000000*Zalozenia!$E582</f>
        <v>0</v>
      </c>
      <c r="AU208" s="79">
        <f t="shared" si="116"/>
        <v>0</v>
      </c>
      <c r="AW208" s="23">
        <f t="shared" si="117"/>
        <v>11981.007677023692</v>
      </c>
      <c r="AX208" s="23">
        <f t="shared" si="118"/>
        <v>35268.819015062931</v>
      </c>
      <c r="AY208" s="23">
        <f t="shared" si="119"/>
        <v>20957.865418339581</v>
      </c>
      <c r="AZ208" s="23">
        <f t="shared" si="120"/>
        <v>20787.761782174606</v>
      </c>
      <c r="BA208" s="23">
        <f t="shared" si="121"/>
        <v>26966.059286756128</v>
      </c>
      <c r="BB208" s="23">
        <f t="shared" si="122"/>
        <v>0</v>
      </c>
    </row>
    <row r="209" spans="1:54" s="4" customFormat="1" ht="10.5">
      <c r="A209" s="12"/>
      <c r="B209" s="13">
        <f t="shared" si="99"/>
        <v>2035</v>
      </c>
      <c r="C209" s="78">
        <f t="shared" si="100"/>
        <v>53874.783984698188</v>
      </c>
      <c r="D209" s="78">
        <f ca="1">C209*Zalozenia!$C$501/1000000*Zalozenia!$D$501*Zalozenia!$C583</f>
        <v>3365.1616947273137</v>
      </c>
      <c r="E209" s="78">
        <f ca="1">C209*Zalozenia!$C$501/1000000*Zalozenia!$E$501*Zalozenia!$D583</f>
        <v>8505.5443784822728</v>
      </c>
      <c r="F209" s="78">
        <f ca="1">C209*Zalozenia!$C$501/1000000*Zalozenia!$E583</f>
        <v>555.83886081915159</v>
      </c>
      <c r="G209" s="79">
        <f t="shared" si="101"/>
        <v>12426.544934028738</v>
      </c>
      <c r="I209" s="12"/>
      <c r="J209" s="13">
        <f t="shared" si="102"/>
        <v>2035</v>
      </c>
      <c r="K209" s="78">
        <f t="shared" si="103"/>
        <v>158414.84091490909</v>
      </c>
      <c r="L209" s="78">
        <f ca="1">K209*Zalozenia!$C$501/1000000*Zalozenia!$D$501*Zalozenia!$C583</f>
        <v>9895.0105243036287</v>
      </c>
      <c r="M209" s="78">
        <f ca="1">K209*Zalozenia!$C$501/1000000*Zalozenia!$E$501*Zalozenia!$D583</f>
        <v>25009.927835528131</v>
      </c>
      <c r="N209" s="78">
        <f ca="1">K209*Zalozenia!$C$501/1000000*Zalozenia!$E583</f>
        <v>1634.4032996215726</v>
      </c>
      <c r="O209" s="79">
        <f t="shared" si="104"/>
        <v>36539.341659453334</v>
      </c>
      <c r="Q209" s="12"/>
      <c r="R209" s="13">
        <f t="shared" si="105"/>
        <v>2035</v>
      </c>
      <c r="S209" s="78">
        <f t="shared" si="106"/>
        <v>94073.501321280011</v>
      </c>
      <c r="T209" s="78">
        <f ca="1">S209*Zalozenia!$C$501/1000000*Zalozenia!$D$501*Zalozenia!$C583</f>
        <v>5876.0800456325815</v>
      </c>
      <c r="U209" s="78">
        <f ca="1">S209*Zalozenia!$C$501/1000000*Zalozenia!$E$501*Zalozenia!$D583</f>
        <v>14851.96377872475</v>
      </c>
      <c r="V209" s="78">
        <f ca="1">S209*Zalozenia!$C$501/1000000*Zalozenia!$E583</f>
        <v>970.57851447795758</v>
      </c>
      <c r="W209" s="79">
        <f t="shared" si="107"/>
        <v>21698.622338835288</v>
      </c>
      <c r="Y209" s="12"/>
      <c r="Z209" s="13">
        <f t="shared" si="108"/>
        <v>2035</v>
      </c>
      <c r="AA209" s="78">
        <f t="shared" si="109"/>
        <v>93375.737135672724</v>
      </c>
      <c r="AB209" s="78">
        <f ca="1">AA209*Zalozenia!$C$501/1000000*Zalozenia!$D$501*Zalozenia!$C583</f>
        <v>5832.4958465752798</v>
      </c>
      <c r="AC209" s="78">
        <f ca="1">AA209*Zalozenia!$C$501/1000000*Zalozenia!$E$501*Zalozenia!$D583</f>
        <v>14741.803443825142</v>
      </c>
      <c r="AD209" s="78">
        <f ca="1">AA209*Zalozenia!$C$501/1000000*Zalozenia!$E583</f>
        <v>963.37951670269945</v>
      </c>
      <c r="AE209" s="79">
        <f t="shared" si="110"/>
        <v>21537.678807103119</v>
      </c>
      <c r="AG209" s="12"/>
      <c r="AH209" s="13">
        <f t="shared" si="111"/>
        <v>2035</v>
      </c>
      <c r="AI209" s="78">
        <f t="shared" si="112"/>
        <v>121045.42414734546</v>
      </c>
      <c r="AJ209" s="78">
        <f ca="1">AI209*Zalozenia!$C$501/1000000*Zalozenia!$D$501*Zalozenia!$C583</f>
        <v>7560.8177803248691</v>
      </c>
      <c r="AK209" s="78">
        <f ca="1">AI209*Zalozenia!$C$501/1000000*Zalozenia!$E$501*Zalozenia!$D583</f>
        <v>19110.187563626743</v>
      </c>
      <c r="AL209" s="78">
        <f ca="1">AI209*Zalozenia!$C$501/1000000*Zalozenia!$E583</f>
        <v>1248.8542076482618</v>
      </c>
      <c r="AM209" s="79">
        <f t="shared" si="113"/>
        <v>27919.859551599875</v>
      </c>
      <c r="AO209" s="12"/>
      <c r="AP209" s="13">
        <f t="shared" si="114"/>
        <v>2035</v>
      </c>
      <c r="AQ209" s="78">
        <f t="shared" si="115"/>
        <v>0</v>
      </c>
      <c r="AR209" s="78">
        <f ca="1">AQ209*Zalozenia!$C$501/1000000*Zalozenia!$D$501*Zalozenia!$C583</f>
        <v>0</v>
      </c>
      <c r="AS209" s="78">
        <f ca="1">AQ209*Zalozenia!$C$501/1000000*Zalozenia!$E$501*Zalozenia!$D583</f>
        <v>0</v>
      </c>
      <c r="AT209" s="78">
        <f ca="1">AQ209*Zalozenia!$C$501/1000000*Zalozenia!$E583</f>
        <v>0</v>
      </c>
      <c r="AU209" s="79">
        <f t="shared" si="116"/>
        <v>0</v>
      </c>
      <c r="AW209" s="23">
        <f t="shared" si="117"/>
        <v>12426.544934028738</v>
      </c>
      <c r="AX209" s="23">
        <f t="shared" si="118"/>
        <v>36539.341659453334</v>
      </c>
      <c r="AY209" s="23">
        <f t="shared" si="119"/>
        <v>21698.622338835288</v>
      </c>
      <c r="AZ209" s="23">
        <f t="shared" si="120"/>
        <v>21537.678807103119</v>
      </c>
      <c r="BA209" s="23">
        <f t="shared" si="121"/>
        <v>27919.859551599875</v>
      </c>
      <c r="BB209" s="23">
        <f t="shared" si="122"/>
        <v>0</v>
      </c>
    </row>
    <row r="210" spans="1:54" s="4" customFormat="1" ht="10.5">
      <c r="A210" s="12"/>
      <c r="B210" s="13">
        <f t="shared" si="99"/>
        <v>2036</v>
      </c>
      <c r="C210" s="78">
        <f t="shared" si="100"/>
        <v>54242.70444845673</v>
      </c>
      <c r="D210" s="78">
        <f ca="1">C210*Zalozenia!$C$501/1000000*Zalozenia!$D$501*Zalozenia!$C584</f>
        <v>3484.9153681332305</v>
      </c>
      <c r="E210" s="78">
        <f ca="1">C210*Zalozenia!$C$501/1000000*Zalozenia!$E$501*Zalozenia!$D584</f>
        <v>8815.5552369425859</v>
      </c>
      <c r="F210" s="78">
        <f ca="1">C210*Zalozenia!$C$501/1000000*Zalozenia!$E584</f>
        <v>576.54277647660626</v>
      </c>
      <c r="G210" s="79">
        <f t="shared" si="101"/>
        <v>12877.013381552422</v>
      </c>
      <c r="I210" s="12"/>
      <c r="J210" s="13">
        <f t="shared" si="102"/>
        <v>2036</v>
      </c>
      <c r="K210" s="78">
        <f t="shared" si="103"/>
        <v>159320.06857728001</v>
      </c>
      <c r="L210" s="78">
        <f ca="1">K210*Zalozenia!$C$501/1000000*Zalozenia!$D$501*Zalozenia!$C584</f>
        <v>10235.7904363819</v>
      </c>
      <c r="M210" s="78">
        <f ca="1">K210*Zalozenia!$C$501/1000000*Zalozenia!$E$501*Zalozenia!$D584</f>
        <v>25892.788333057611</v>
      </c>
      <c r="N210" s="78">
        <f ca="1">K210*Zalozenia!$C$501/1000000*Zalozenia!$E584</f>
        <v>1693.404405624206</v>
      </c>
      <c r="O210" s="79">
        <f t="shared" si="104"/>
        <v>37821.983175063717</v>
      </c>
      <c r="Q210" s="12"/>
      <c r="R210" s="13">
        <f t="shared" si="105"/>
        <v>2036</v>
      </c>
      <c r="S210" s="78">
        <f t="shared" si="106"/>
        <v>94549.729787136006</v>
      </c>
      <c r="T210" s="78">
        <f ca="1">S210*Zalozenia!$C$501/1000000*Zalozenia!$D$501*Zalozenia!$C584</f>
        <v>6074.509184938127</v>
      </c>
      <c r="U210" s="78">
        <f ca="1">S210*Zalozenia!$C$501/1000000*Zalozenia!$E$501*Zalozenia!$D584</f>
        <v>15366.275963775393</v>
      </c>
      <c r="V210" s="78">
        <f ca="1">S210*Zalozenia!$C$501/1000000*Zalozenia!$E584</f>
        <v>1004.9639722220601</v>
      </c>
      <c r="W210" s="79">
        <f t="shared" si="107"/>
        <v>22445.749120935579</v>
      </c>
      <c r="Y210" s="12"/>
      <c r="Z210" s="13">
        <f t="shared" si="108"/>
        <v>2036</v>
      </c>
      <c r="AA210" s="78">
        <f t="shared" si="109"/>
        <v>93913.879757681469</v>
      </c>
      <c r="AB210" s="78">
        <f ca="1">AA210*Zalozenia!$C$501/1000000*Zalozenia!$D$501*Zalozenia!$C584</f>
        <v>6033.6579117207357</v>
      </c>
      <c r="AC210" s="78">
        <f ca="1">AA210*Zalozenia!$C$501/1000000*Zalozenia!$E$501*Zalozenia!$D584</f>
        <v>15262.937254651946</v>
      </c>
      <c r="AD210" s="78">
        <f ca="1">AA210*Zalozenia!$C$501/1000000*Zalozenia!$E584</f>
        <v>998.20555659488934</v>
      </c>
      <c r="AE210" s="79">
        <f t="shared" si="110"/>
        <v>22294.800722967571</v>
      </c>
      <c r="AG210" s="12"/>
      <c r="AH210" s="13">
        <f t="shared" si="111"/>
        <v>2036</v>
      </c>
      <c r="AI210" s="78">
        <f t="shared" si="112"/>
        <v>121661.14047294763</v>
      </c>
      <c r="AJ210" s="78">
        <f ca="1">AI210*Zalozenia!$C$501/1000000*Zalozenia!$D$501*Zalozenia!$C584</f>
        <v>7816.3281578570641</v>
      </c>
      <c r="AK210" s="78">
        <f ca="1">AI210*Zalozenia!$C$501/1000000*Zalozenia!$E$501*Zalozenia!$D584</f>
        <v>19772.437877758053</v>
      </c>
      <c r="AL210" s="78">
        <f ca="1">AI210*Zalozenia!$C$501/1000000*Zalozenia!$E584</f>
        <v>1293.1296923853747</v>
      </c>
      <c r="AM210" s="79">
        <f t="shared" si="113"/>
        <v>28881.895728000491</v>
      </c>
      <c r="AO210" s="12"/>
      <c r="AP210" s="13">
        <f t="shared" si="114"/>
        <v>2036</v>
      </c>
      <c r="AQ210" s="78">
        <f t="shared" si="115"/>
        <v>0</v>
      </c>
      <c r="AR210" s="78">
        <f ca="1">AQ210*Zalozenia!$C$501/1000000*Zalozenia!$D$501*Zalozenia!$C584</f>
        <v>0</v>
      </c>
      <c r="AS210" s="78">
        <f ca="1">AQ210*Zalozenia!$C$501/1000000*Zalozenia!$E$501*Zalozenia!$D584</f>
        <v>0</v>
      </c>
      <c r="AT210" s="78">
        <f ca="1">AQ210*Zalozenia!$C$501/1000000*Zalozenia!$E584</f>
        <v>0</v>
      </c>
      <c r="AU210" s="79">
        <f t="shared" si="116"/>
        <v>0</v>
      </c>
      <c r="AW210" s="23">
        <f t="shared" si="117"/>
        <v>12877.013381552422</v>
      </c>
      <c r="AX210" s="23">
        <f t="shared" si="118"/>
        <v>37821.983175063717</v>
      </c>
      <c r="AY210" s="23">
        <f t="shared" si="119"/>
        <v>22445.749120935579</v>
      </c>
      <c r="AZ210" s="23">
        <f t="shared" si="120"/>
        <v>22294.800722967571</v>
      </c>
      <c r="BA210" s="23">
        <f t="shared" si="121"/>
        <v>28881.895728000491</v>
      </c>
      <c r="BB210" s="23">
        <f t="shared" si="122"/>
        <v>0</v>
      </c>
    </row>
    <row r="211" spans="1:54" s="4" customFormat="1" ht="10.5">
      <c r="A211" s="12"/>
      <c r="B211" s="13">
        <f t="shared" si="99"/>
        <v>2037</v>
      </c>
      <c r="C211" s="78">
        <f t="shared" si="100"/>
        <v>54610.62491221528</v>
      </c>
      <c r="D211" s="78">
        <f ca="1">C211*Zalozenia!$C$501/1000000*Zalozenia!$D$501*Zalozenia!$C585</f>
        <v>3605.9836490493985</v>
      </c>
      <c r="E211" s="78">
        <f ca="1">C211*Zalozenia!$C$501/1000000*Zalozenia!$E$501*Zalozenia!$D585</f>
        <v>9129.0133391270738</v>
      </c>
      <c r="F211" s="78">
        <f ca="1">C211*Zalozenia!$C$501/1000000*Zalozenia!$E585</f>
        <v>597.47606110957759</v>
      </c>
      <c r="G211" s="79">
        <f t="shared" si="101"/>
        <v>13332.473049286049</v>
      </c>
      <c r="I211" s="12"/>
      <c r="J211" s="13">
        <f t="shared" si="102"/>
        <v>2037</v>
      </c>
      <c r="K211" s="78">
        <f t="shared" si="103"/>
        <v>160225.2962396509</v>
      </c>
      <c r="L211" s="78">
        <f ca="1">K211*Zalozenia!$C$501/1000000*Zalozenia!$D$501*Zalozenia!$C585</f>
        <v>10579.805657470912</v>
      </c>
      <c r="M211" s="78">
        <f ca="1">K211*Zalozenia!$C$501/1000000*Zalozenia!$E$501*Zalozenia!$D585</f>
        <v>26784.144458859406</v>
      </c>
      <c r="N211" s="78">
        <f ca="1">K211*Zalozenia!$C$501/1000000*Zalozenia!$E585</f>
        <v>1752.969848656114</v>
      </c>
      <c r="O211" s="79">
        <f t="shared" si="104"/>
        <v>39116.919964986439</v>
      </c>
      <c r="Q211" s="12"/>
      <c r="R211" s="13">
        <f t="shared" si="105"/>
        <v>2037</v>
      </c>
      <c r="S211" s="78">
        <f t="shared" si="106"/>
        <v>95025.95825299203</v>
      </c>
      <c r="T211" s="78">
        <f ca="1">S211*Zalozenia!$C$501/1000000*Zalozenia!$D$501*Zalozenia!$C585</f>
        <v>6274.6407360537914</v>
      </c>
      <c r="U211" s="78">
        <f ca="1">S211*Zalozenia!$C$501/1000000*Zalozenia!$E$501*Zalozenia!$D585</f>
        <v>15885.063425832657</v>
      </c>
      <c r="V211" s="78">
        <f ca="1">S211*Zalozenia!$C$501/1000000*Zalozenia!$E585</f>
        <v>1039.6463203163466</v>
      </c>
      <c r="W211" s="79">
        <f t="shared" si="107"/>
        <v>23199.350482202797</v>
      </c>
      <c r="Y211" s="12"/>
      <c r="Z211" s="13">
        <f t="shared" si="108"/>
        <v>2037</v>
      </c>
      <c r="AA211" s="78">
        <f t="shared" si="109"/>
        <v>94452.022379690185</v>
      </c>
      <c r="AB211" s="78">
        <f ca="1">AA211*Zalozenia!$C$501/1000000*Zalozenia!$D$501*Zalozenia!$C585</f>
        <v>6236.7432870123985</v>
      </c>
      <c r="AC211" s="78">
        <f ca="1">AA211*Zalozenia!$C$501/1000000*Zalozenia!$E$501*Zalozenia!$D585</f>
        <v>15789.121138931559</v>
      </c>
      <c r="AD211" s="78">
        <f ca="1">AA211*Zalozenia!$C$501/1000000*Zalozenia!$E585</f>
        <v>1033.3670853604917</v>
      </c>
      <c r="AE211" s="79">
        <f t="shared" si="110"/>
        <v>23059.23151130445</v>
      </c>
      <c r="AG211" s="12"/>
      <c r="AH211" s="13">
        <f t="shared" si="111"/>
        <v>2037</v>
      </c>
      <c r="AI211" s="78">
        <f t="shared" si="112"/>
        <v>122276.85679854982</v>
      </c>
      <c r="AJ211" s="78">
        <f ca="1">AI211*Zalozenia!$C$501/1000000*Zalozenia!$D$501*Zalozenia!$C585</f>
        <v>8074.0395661375924</v>
      </c>
      <c r="AK211" s="78">
        <f ca="1">AI211*Zalozenia!$C$501/1000000*Zalozenia!$E$501*Zalozenia!$D585</f>
        <v>20440.473965915127</v>
      </c>
      <c r="AL211" s="78">
        <f ca="1">AI211*Zalozenia!$C$501/1000000*Zalozenia!$E585</f>
        <v>1337.789026994195</v>
      </c>
      <c r="AM211" s="79">
        <f t="shared" si="113"/>
        <v>29852.302559046915</v>
      </c>
      <c r="AO211" s="12"/>
      <c r="AP211" s="13">
        <f t="shared" si="114"/>
        <v>2037</v>
      </c>
      <c r="AQ211" s="78">
        <f t="shared" si="115"/>
        <v>0</v>
      </c>
      <c r="AR211" s="78">
        <f ca="1">AQ211*Zalozenia!$C$501/1000000*Zalozenia!$D$501*Zalozenia!$C585</f>
        <v>0</v>
      </c>
      <c r="AS211" s="78">
        <f ca="1">AQ211*Zalozenia!$C$501/1000000*Zalozenia!$E$501*Zalozenia!$D585</f>
        <v>0</v>
      </c>
      <c r="AT211" s="78">
        <f ca="1">AQ211*Zalozenia!$C$501/1000000*Zalozenia!$E585</f>
        <v>0</v>
      </c>
      <c r="AU211" s="79">
        <f t="shared" si="116"/>
        <v>0</v>
      </c>
      <c r="AW211" s="23">
        <f t="shared" si="117"/>
        <v>13332.473049286049</v>
      </c>
      <c r="AX211" s="23">
        <f t="shared" si="118"/>
        <v>39116.919964986439</v>
      </c>
      <c r="AY211" s="23">
        <f t="shared" si="119"/>
        <v>23199.350482202797</v>
      </c>
      <c r="AZ211" s="23">
        <f t="shared" si="120"/>
        <v>23059.23151130445</v>
      </c>
      <c r="BA211" s="23">
        <f t="shared" si="121"/>
        <v>29852.302559046915</v>
      </c>
      <c r="BB211" s="23">
        <f t="shared" si="122"/>
        <v>0</v>
      </c>
    </row>
    <row r="212" spans="1:54" s="4" customFormat="1" ht="10.5">
      <c r="A212" s="12"/>
      <c r="B212" s="13">
        <f t="shared" si="99"/>
        <v>2038</v>
      </c>
      <c r="C212" s="78">
        <f t="shared" si="100"/>
        <v>54978.545375973823</v>
      </c>
      <c r="D212" s="78">
        <f ca="1">C212*Zalozenia!$C$501/1000000*Zalozenia!$D$501*Zalozenia!$C586</f>
        <v>3728.3622963191906</v>
      </c>
      <c r="E212" s="78">
        <f ca="1">C212*Zalozenia!$C$501/1000000*Zalozenia!$E$501*Zalozenia!$D586</f>
        <v>9445.8893834257324</v>
      </c>
      <c r="F212" s="78">
        <f ca="1">C212*Zalozenia!$C$501/1000000*Zalozenia!$E586</f>
        <v>618.64674158568994</v>
      </c>
      <c r="G212" s="79">
        <f t="shared" si="101"/>
        <v>13792.898421330612</v>
      </c>
      <c r="I212" s="12"/>
      <c r="J212" s="13">
        <f t="shared" si="102"/>
        <v>2038</v>
      </c>
      <c r="K212" s="78">
        <f t="shared" si="103"/>
        <v>161130.52390202184</v>
      </c>
      <c r="L212" s="78">
        <f ca="1">K212*Zalozenia!$C$501/1000000*Zalozenia!$D$501*Zalozenia!$C586</f>
        <v>10927.043740320409</v>
      </c>
      <c r="M212" s="78">
        <f ca="1">K212*Zalozenia!$C$501/1000000*Zalozenia!$E$501*Zalozenia!$D586</f>
        <v>27683.910053703836</v>
      </c>
      <c r="N212" s="78">
        <f ca="1">K212*Zalozenia!$C$501/1000000*Zalozenia!$E586</f>
        <v>1813.1231537737874</v>
      </c>
      <c r="O212" s="79">
        <f t="shared" si="104"/>
        <v>40424.076947798028</v>
      </c>
      <c r="Q212" s="12"/>
      <c r="R212" s="13">
        <f t="shared" si="105"/>
        <v>2038</v>
      </c>
      <c r="S212" s="78">
        <f t="shared" si="106"/>
        <v>95502.18671884801</v>
      </c>
      <c r="T212" s="78">
        <f ca="1">S212*Zalozenia!$C$501/1000000*Zalozenia!$D$501*Zalozenia!$C586</f>
        <v>6476.4673154519833</v>
      </c>
      <c r="U212" s="78">
        <f ca="1">S212*Zalozenia!$C$501/1000000*Zalozenia!$E$501*Zalozenia!$D586</f>
        <v>16408.274999864519</v>
      </c>
      <c r="V212" s="78">
        <f ca="1">S212*Zalozenia!$C$501/1000000*Zalozenia!$E586</f>
        <v>1074.6395020800778</v>
      </c>
      <c r="W212" s="79">
        <f t="shared" si="107"/>
        <v>23959.381817396581</v>
      </c>
      <c r="Y212" s="12"/>
      <c r="Z212" s="13">
        <f t="shared" si="108"/>
        <v>2038</v>
      </c>
      <c r="AA212" s="78">
        <f t="shared" si="109"/>
        <v>94990.16500169893</v>
      </c>
      <c r="AB212" s="78">
        <f ca="1">AA212*Zalozenia!$C$501/1000000*Zalozenia!$D$501*Zalozenia!$C586</f>
        <v>6441.7446349579768</v>
      </c>
      <c r="AC212" s="78">
        <f ca="1">AA212*Zalozenia!$C$501/1000000*Zalozenia!$E$501*Zalozenia!$D586</f>
        <v>16320.30431113445</v>
      </c>
      <c r="AD212" s="78">
        <f ca="1">AA212*Zalozenia!$C$501/1000000*Zalozenia!$E586</f>
        <v>1068.8779715635972</v>
      </c>
      <c r="AE212" s="79">
        <f t="shared" si="110"/>
        <v>23830.926917656026</v>
      </c>
      <c r="AG212" s="12"/>
      <c r="AH212" s="13">
        <f t="shared" si="111"/>
        <v>2038</v>
      </c>
      <c r="AI212" s="78">
        <f t="shared" si="112"/>
        <v>122892.573124152</v>
      </c>
      <c r="AJ212" s="78">
        <f ca="1">AI212*Zalozenia!$C$501/1000000*Zalozenia!$D$501*Zalozenia!$C586</f>
        <v>8333.9425043058745</v>
      </c>
      <c r="AK212" s="78">
        <f ca="1">AI212*Zalozenia!$C$501/1000000*Zalozenia!$E$501*Zalozenia!$D586</f>
        <v>21114.229993480185</v>
      </c>
      <c r="AL212" s="78">
        <f ca="1">AI212*Zalozenia!$C$501/1000000*Zalozenia!$E586</f>
        <v>1382.8501537903978</v>
      </c>
      <c r="AM212" s="79">
        <f t="shared" si="113"/>
        <v>30831.022651576455</v>
      </c>
      <c r="AO212" s="12"/>
      <c r="AP212" s="13">
        <f t="shared" si="114"/>
        <v>2038</v>
      </c>
      <c r="AQ212" s="78">
        <f t="shared" si="115"/>
        <v>0</v>
      </c>
      <c r="AR212" s="78">
        <f ca="1">AQ212*Zalozenia!$C$501/1000000*Zalozenia!$D$501*Zalozenia!$C586</f>
        <v>0</v>
      </c>
      <c r="AS212" s="78">
        <f ca="1">AQ212*Zalozenia!$C$501/1000000*Zalozenia!$E$501*Zalozenia!$D586</f>
        <v>0</v>
      </c>
      <c r="AT212" s="78">
        <f ca="1">AQ212*Zalozenia!$C$501/1000000*Zalozenia!$E586</f>
        <v>0</v>
      </c>
      <c r="AU212" s="79">
        <f t="shared" si="116"/>
        <v>0</v>
      </c>
      <c r="AW212" s="23">
        <f t="shared" si="117"/>
        <v>13792.898421330612</v>
      </c>
      <c r="AX212" s="23">
        <f t="shared" si="118"/>
        <v>40424.076947798028</v>
      </c>
      <c r="AY212" s="23">
        <f t="shared" si="119"/>
        <v>23959.381817396581</v>
      </c>
      <c r="AZ212" s="23">
        <f t="shared" si="120"/>
        <v>23830.926917656026</v>
      </c>
      <c r="BA212" s="23">
        <f t="shared" si="121"/>
        <v>30831.022651576455</v>
      </c>
      <c r="BB212" s="23">
        <f t="shared" si="122"/>
        <v>0</v>
      </c>
    </row>
    <row r="213" spans="1:54" s="4" customFormat="1" ht="10.5">
      <c r="A213" s="12"/>
      <c r="B213" s="13">
        <f t="shared" si="99"/>
        <v>2039</v>
      </c>
      <c r="C213" s="78">
        <f t="shared" si="100"/>
        <v>55346.465839732358</v>
      </c>
      <c r="D213" s="78">
        <f ca="1">C213*Zalozenia!$C$501/1000000*Zalozenia!$D$501*Zalozenia!$C587</f>
        <v>3852.0543370031796</v>
      </c>
      <c r="E213" s="78">
        <f ca="1">C213*Zalozenia!$C$501/1000000*Zalozenia!$E$501*Zalozenia!$D587</f>
        <v>9766.1934038497548</v>
      </c>
      <c r="F213" s="78">
        <f ca="1">C213*Zalozenia!$C$501/1000000*Zalozenia!$E587</f>
        <v>640.03881788608135</v>
      </c>
      <c r="G213" s="79">
        <f t="shared" si="101"/>
        <v>14258.286558739015</v>
      </c>
      <c r="I213" s="12"/>
      <c r="J213" s="13">
        <f t="shared" si="102"/>
        <v>2039</v>
      </c>
      <c r="K213" s="78">
        <f t="shared" si="103"/>
        <v>162035.75156439273</v>
      </c>
      <c r="L213" s="78">
        <f ca="1">K213*Zalozenia!$C$501/1000000*Zalozenia!$D$501*Zalozenia!$C587</f>
        <v>11277.513570073461</v>
      </c>
      <c r="M213" s="78">
        <f ca="1">K213*Zalozenia!$C$501/1000000*Zalozenia!$E$501*Zalozenia!$D587</f>
        <v>28592.114493785397</v>
      </c>
      <c r="N213" s="78">
        <f ca="1">K213*Zalozenia!$C$501/1000000*Zalozenia!$E587</f>
        <v>1873.8174030274849</v>
      </c>
      <c r="O213" s="79">
        <f t="shared" si="104"/>
        <v>41743.44546688634</v>
      </c>
      <c r="Q213" s="12"/>
      <c r="R213" s="13">
        <f t="shared" si="105"/>
        <v>2039</v>
      </c>
      <c r="S213" s="78">
        <f t="shared" si="106"/>
        <v>95978.415184704005</v>
      </c>
      <c r="T213" s="78">
        <f ca="1">S213*Zalozenia!$C$501/1000000*Zalozenia!$D$501*Zalozenia!$C587</f>
        <v>6679.9941940560002</v>
      </c>
      <c r="U213" s="78">
        <f ca="1">S213*Zalozenia!$C$501/1000000*Zalozenia!$E$501*Zalozenia!$D587</f>
        <v>16935.92808623211</v>
      </c>
      <c r="V213" s="78">
        <f ca="1">S213*Zalozenia!$C$501/1000000*Zalozenia!$E587</f>
        <v>1109.9157004040881</v>
      </c>
      <c r="W213" s="79">
        <f t="shared" si="107"/>
        <v>24725.837980692202</v>
      </c>
      <c r="Y213" s="12"/>
      <c r="Z213" s="13">
        <f t="shared" si="108"/>
        <v>2039</v>
      </c>
      <c r="AA213" s="78">
        <f t="shared" si="109"/>
        <v>95528.307623707646</v>
      </c>
      <c r="AB213" s="78">
        <f ca="1">AA213*Zalozenia!$C$501/1000000*Zalozenia!$D$501*Zalozenia!$C587</f>
        <v>6648.6671932051304</v>
      </c>
      <c r="AC213" s="78">
        <f ca="1">AA213*Zalozenia!$C$501/1000000*Zalozenia!$E$501*Zalozenia!$D587</f>
        <v>16856.504090019695</v>
      </c>
      <c r="AD213" s="78">
        <f ca="1">AA213*Zalozenia!$C$501/1000000*Zalozenia!$E587</f>
        <v>1104.7105566448477</v>
      </c>
      <c r="AE213" s="79">
        <f t="shared" si="110"/>
        <v>24609.881839869671</v>
      </c>
      <c r="AG213" s="12"/>
      <c r="AH213" s="13">
        <f t="shared" si="111"/>
        <v>2039</v>
      </c>
      <c r="AI213" s="78">
        <f t="shared" si="112"/>
        <v>123508.28944975419</v>
      </c>
      <c r="AJ213" s="78">
        <f ca="1">AI213*Zalozenia!$C$501/1000000*Zalozenia!$D$501*Zalozenia!$C587</f>
        <v>8596.0437547798865</v>
      </c>
      <c r="AK213" s="78">
        <f ca="1">AI213*Zalozenia!$C$501/1000000*Zalozenia!$E$501*Zalozenia!$D587</f>
        <v>21793.728351829814</v>
      </c>
      <c r="AL213" s="78">
        <f ca="1">AI213*Zalozenia!$C$501/1000000*Zalozenia!$E587</f>
        <v>1428.2772780372152</v>
      </c>
      <c r="AM213" s="79">
        <f t="shared" si="113"/>
        <v>31818.049384646914</v>
      </c>
      <c r="AO213" s="12"/>
      <c r="AP213" s="13">
        <f t="shared" si="114"/>
        <v>2039</v>
      </c>
      <c r="AQ213" s="78">
        <f t="shared" si="115"/>
        <v>0</v>
      </c>
      <c r="AR213" s="78">
        <f ca="1">AQ213*Zalozenia!$C$501/1000000*Zalozenia!$D$501*Zalozenia!$C587</f>
        <v>0</v>
      </c>
      <c r="AS213" s="78">
        <f ca="1">AQ213*Zalozenia!$C$501/1000000*Zalozenia!$E$501*Zalozenia!$D587</f>
        <v>0</v>
      </c>
      <c r="AT213" s="78">
        <f ca="1">AQ213*Zalozenia!$C$501/1000000*Zalozenia!$E587</f>
        <v>0</v>
      </c>
      <c r="AU213" s="79">
        <f t="shared" si="116"/>
        <v>0</v>
      </c>
      <c r="AW213" s="23">
        <f t="shared" si="117"/>
        <v>14258.286558739015</v>
      </c>
      <c r="AX213" s="23">
        <f t="shared" si="118"/>
        <v>41743.44546688634</v>
      </c>
      <c r="AY213" s="23">
        <f t="shared" si="119"/>
        <v>24725.837980692202</v>
      </c>
      <c r="AZ213" s="23">
        <f t="shared" si="120"/>
        <v>24609.881839869671</v>
      </c>
      <c r="BA213" s="23">
        <f t="shared" si="121"/>
        <v>31818.049384646914</v>
      </c>
      <c r="BB213" s="23">
        <f t="shared" si="122"/>
        <v>0</v>
      </c>
    </row>
    <row r="214" spans="1:54" s="4" customFormat="1" ht="10.5">
      <c r="A214" s="12"/>
      <c r="B214" s="13">
        <f t="shared" si="99"/>
        <v>2040</v>
      </c>
      <c r="C214" s="78">
        <f t="shared" si="100"/>
        <v>54703.439777822729</v>
      </c>
      <c r="D214" s="78">
        <f ca="1">C214*Zalozenia!$C$501/1000000*Zalozenia!$D$501*Zalozenia!$C588</f>
        <v>3904.8941759806889</v>
      </c>
      <c r="E214" s="78">
        <f ca="1">C214*Zalozenia!$C$501/1000000*Zalozenia!$E$501*Zalozenia!$D588</f>
        <v>9906.822438208339</v>
      </c>
      <c r="F214" s="78">
        <f ca="1">C214*Zalozenia!$C$501/1000000*Zalozenia!$E588</f>
        <v>649.65433096751781</v>
      </c>
      <c r="G214" s="79">
        <f t="shared" si="101"/>
        <v>14461.370945156546</v>
      </c>
      <c r="I214" s="12"/>
      <c r="J214" s="13">
        <f t="shared" si="102"/>
        <v>2040</v>
      </c>
      <c r="K214" s="78">
        <f t="shared" si="103"/>
        <v>159984.38887789092</v>
      </c>
      <c r="L214" s="78">
        <f ca="1">K214*Zalozenia!$C$501/1000000*Zalozenia!$D$501*Zalozenia!$C588</f>
        <v>11420.161344778429</v>
      </c>
      <c r="M214" s="78">
        <f ca="1">K214*Zalozenia!$C$501/1000000*Zalozenia!$E$501*Zalozenia!$D588</f>
        <v>28973.259084542718</v>
      </c>
      <c r="N214" s="78">
        <f ca="1">K214*Zalozenia!$C$501/1000000*Zalozenia!$E588</f>
        <v>1899.9637233753886</v>
      </c>
      <c r="O214" s="79">
        <f t="shared" si="104"/>
        <v>42293.384152696541</v>
      </c>
      <c r="Q214" s="12"/>
      <c r="R214" s="13">
        <f t="shared" si="105"/>
        <v>2040</v>
      </c>
      <c r="S214" s="78">
        <f t="shared" si="106"/>
        <v>94704.458584320004</v>
      </c>
      <c r="T214" s="78">
        <f ca="1">S214*Zalozenia!$C$501/1000000*Zalozenia!$D$501*Zalozenia!$C588</f>
        <v>6760.285829690004</v>
      </c>
      <c r="U214" s="78">
        <f ca="1">S214*Zalozenia!$C$501/1000000*Zalozenia!$E$501*Zalozenia!$D588</f>
        <v>17151.028511407734</v>
      </c>
      <c r="V214" s="78">
        <f ca="1">S214*Zalozenia!$C$501/1000000*Zalozenia!$E588</f>
        <v>1124.7037102442005</v>
      </c>
      <c r="W214" s="79">
        <f t="shared" si="107"/>
        <v>25036.01805134194</v>
      </c>
      <c r="Y214" s="12"/>
      <c r="Z214" s="13">
        <f t="shared" si="108"/>
        <v>2040</v>
      </c>
      <c r="AA214" s="78">
        <f t="shared" si="109"/>
        <v>94323.3090114191</v>
      </c>
      <c r="AB214" s="78">
        <f ca="1">AA214*Zalozenia!$C$501/1000000*Zalozenia!$D$501*Zalozenia!$C588</f>
        <v>6733.0782399398322</v>
      </c>
      <c r="AC214" s="78">
        <f ca="1">AA214*Zalozenia!$C$501/1000000*Zalozenia!$E$501*Zalozenia!$D588</f>
        <v>17082.002118251028</v>
      </c>
      <c r="AD214" s="78">
        <f ca="1">AA214*Zalozenia!$C$501/1000000*Zalozenia!$E588</f>
        <v>1120.1772038346003</v>
      </c>
      <c r="AE214" s="79">
        <f t="shared" si="110"/>
        <v>24935.257562025461</v>
      </c>
      <c r="AG214" s="12"/>
      <c r="AH214" s="13">
        <f t="shared" si="111"/>
        <v>2040</v>
      </c>
      <c r="AI214" s="78">
        <f t="shared" si="112"/>
        <v>121871.75567056162</v>
      </c>
      <c r="AJ214" s="78">
        <f ca="1">AI214*Zalozenia!$C$501/1000000*Zalozenia!$D$501*Zalozenia!$C588</f>
        <v>8699.5682696986496</v>
      </c>
      <c r="AK214" s="78">
        <f ca="1">AI214*Zalozenia!$C$501/1000000*Zalozenia!$E$501*Zalozenia!$D588</f>
        <v>22071.040661513205</v>
      </c>
      <c r="AL214" s="78">
        <f ca="1">AI214*Zalozenia!$C$501/1000000*Zalozenia!$E588</f>
        <v>1447.3406830642043</v>
      </c>
      <c r="AM214" s="79">
        <f t="shared" si="113"/>
        <v>32217.949614276062</v>
      </c>
      <c r="AO214" s="12"/>
      <c r="AP214" s="13">
        <f t="shared" si="114"/>
        <v>2040</v>
      </c>
      <c r="AQ214" s="78">
        <f t="shared" si="115"/>
        <v>123305.76000000001</v>
      </c>
      <c r="AR214" s="78">
        <f ca="1">AQ214*Zalozenia!$C$501/1000000*Zalozenia!$D$501*Zalozenia!$C588</f>
        <v>8801.9317623253992</v>
      </c>
      <c r="AS214" s="78">
        <f ca="1">AQ214*Zalozenia!$C$501/1000000*Zalozenia!$E$501*Zalozenia!$D588</f>
        <v>22330.739618746371</v>
      </c>
      <c r="AT214" s="78">
        <f ca="1">AQ214*Zalozenia!$C$501/1000000*Zalozenia!$E588</f>
        <v>1464.37082096832</v>
      </c>
      <c r="AU214" s="79">
        <f t="shared" si="116"/>
        <v>32597.042202040091</v>
      </c>
      <c r="AW214" s="23">
        <f t="shared" si="117"/>
        <v>14461.370945156546</v>
      </c>
      <c r="AX214" s="23">
        <f t="shared" si="118"/>
        <v>42293.384152696541</v>
      </c>
      <c r="AY214" s="23">
        <f t="shared" si="119"/>
        <v>25036.01805134194</v>
      </c>
      <c r="AZ214" s="23">
        <f t="shared" si="120"/>
        <v>24935.257562025461</v>
      </c>
      <c r="BA214" s="23">
        <f t="shared" si="121"/>
        <v>32217.949614276062</v>
      </c>
      <c r="BB214" s="23">
        <f t="shared" si="122"/>
        <v>32597.042202040091</v>
      </c>
    </row>
    <row r="215" spans="1:54" s="4" customFormat="1" ht="10.5">
      <c r="A215" s="12"/>
      <c r="B215" s="13">
        <f t="shared" si="99"/>
        <v>2041</v>
      </c>
      <c r="C215" s="78">
        <f t="shared" si="100"/>
        <v>55064.684265424374</v>
      </c>
      <c r="D215" s="78">
        <f ca="1">C215*Zalozenia!$C$501/1000000*Zalozenia!$D$501*Zalozenia!$C589</f>
        <v>4028.9202827979925</v>
      </c>
      <c r="E215" s="78">
        <f ca="1">C215*Zalozenia!$C$501/1000000*Zalozenia!$E$501*Zalozenia!$D589</f>
        <v>10228.019544953211</v>
      </c>
      <c r="F215" s="78">
        <f ca="1">C215*Zalozenia!$C$501/1000000*Zalozenia!$E589</f>
        <v>671.1126783919766</v>
      </c>
      <c r="G215" s="79">
        <f t="shared" si="101"/>
        <v>14928.052506143182</v>
      </c>
      <c r="I215" s="12"/>
      <c r="J215" s="13">
        <f t="shared" si="102"/>
        <v>2041</v>
      </c>
      <c r="K215" s="78">
        <f t="shared" si="103"/>
        <v>160873.19103832368</v>
      </c>
      <c r="L215" s="78">
        <f ca="1">K215*Zalozenia!$C$501/1000000*Zalozenia!$D$501*Zalozenia!$C589</f>
        <v>11770.616157690656</v>
      </c>
      <c r="M215" s="78">
        <f ca="1">K215*Zalozenia!$C$501/1000000*Zalozenia!$E$501*Zalozenia!$D589</f>
        <v>29881.477831920249</v>
      </c>
      <c r="N215" s="78">
        <f ca="1">K215*Zalozenia!$C$501/1000000*Zalozenia!$E589</f>
        <v>1960.6766035156431</v>
      </c>
      <c r="O215" s="79">
        <f t="shared" si="104"/>
        <v>43612.770593126545</v>
      </c>
      <c r="Q215" s="12"/>
      <c r="R215" s="13">
        <f t="shared" si="105"/>
        <v>2041</v>
      </c>
      <c r="S215" s="78">
        <f t="shared" si="106"/>
        <v>95172.045807852017</v>
      </c>
      <c r="T215" s="78">
        <f ca="1">S215*Zalozenia!$C$501/1000000*Zalozenia!$D$501*Zalozenia!$C589</f>
        <v>6963.4574469248437</v>
      </c>
      <c r="U215" s="78">
        <f ca="1">S215*Zalozenia!$C$501/1000000*Zalozenia!$E$501*Zalozenia!$D589</f>
        <v>17677.783095309838</v>
      </c>
      <c r="V215" s="78">
        <f ca="1">S215*Zalozenia!$C$501/1000000*Zalozenia!$E589</f>
        <v>1159.9297702730451</v>
      </c>
      <c r="W215" s="79">
        <f t="shared" si="107"/>
        <v>25801.170312507726</v>
      </c>
      <c r="Y215" s="12"/>
      <c r="Z215" s="13">
        <f t="shared" si="108"/>
        <v>2041</v>
      </c>
      <c r="AA215" s="78">
        <f t="shared" si="109"/>
        <v>94851.686948754286</v>
      </c>
      <c r="AB215" s="78">
        <f ca="1">AA215*Zalozenia!$C$501/1000000*Zalozenia!$D$501*Zalozenia!$C589</f>
        <v>6940.0177355669912</v>
      </c>
      <c r="AC215" s="78">
        <f ca="1">AA215*Zalozenia!$C$501/1000000*Zalozenia!$E$501*Zalozenia!$D589</f>
        <v>17618.277865851767</v>
      </c>
      <c r="AD215" s="78">
        <f ca="1">AA215*Zalozenia!$C$501/1000000*Zalozenia!$E589</f>
        <v>1156.0253278006369</v>
      </c>
      <c r="AE215" s="79">
        <f t="shared" si="110"/>
        <v>25714.320929219397</v>
      </c>
      <c r="AG215" s="12"/>
      <c r="AH215" s="13">
        <f t="shared" si="111"/>
        <v>2041</v>
      </c>
      <c r="AI215" s="78">
        <f t="shared" si="112"/>
        <v>122476.29972412667</v>
      </c>
      <c r="AJ215" s="78">
        <f ca="1">AI215*Zalozenia!$C$501/1000000*Zalozenia!$D$501*Zalozenia!$C589</f>
        <v>8961.2290473155444</v>
      </c>
      <c r="AK215" s="78">
        <f ca="1">AI215*Zalozenia!$C$501/1000000*Zalozenia!$E$501*Zalozenia!$D589</f>
        <v>22749.426498727622</v>
      </c>
      <c r="AL215" s="78">
        <f ca="1">AI215*Zalozenia!$C$501/1000000*Zalozenia!$E589</f>
        <v>1492.7062352922346</v>
      </c>
      <c r="AM215" s="79">
        <f t="shared" si="113"/>
        <v>33203.361781335399</v>
      </c>
      <c r="AO215" s="12"/>
      <c r="AP215" s="13">
        <f t="shared" si="114"/>
        <v>2041</v>
      </c>
      <c r="AQ215" s="78">
        <f t="shared" si="115"/>
        <v>131526.144</v>
      </c>
      <c r="AR215" s="78">
        <f ca="1">AQ215*Zalozenia!$C$501/1000000*Zalozenia!$D$501*Zalozenia!$C589</f>
        <v>9623.3794191124398</v>
      </c>
      <c r="AS215" s="78">
        <f ca="1">AQ215*Zalozenia!$C$501/1000000*Zalozenia!$E$501*Zalozenia!$D589</f>
        <v>24430.394715783863</v>
      </c>
      <c r="AT215" s="78">
        <f ca="1">AQ215*Zalozenia!$C$501/1000000*Zalozenia!$E589</f>
        <v>1603.0031581209601</v>
      </c>
      <c r="AU215" s="79">
        <f t="shared" si="116"/>
        <v>35656.777293017265</v>
      </c>
      <c r="AW215" s="23">
        <f t="shared" si="117"/>
        <v>14928.052506143182</v>
      </c>
      <c r="AX215" s="23">
        <f t="shared" si="118"/>
        <v>43612.770593126545</v>
      </c>
      <c r="AY215" s="23">
        <f t="shared" si="119"/>
        <v>25801.170312507726</v>
      </c>
      <c r="AZ215" s="23">
        <f t="shared" si="120"/>
        <v>25714.320929219397</v>
      </c>
      <c r="BA215" s="23">
        <f t="shared" si="121"/>
        <v>33203.361781335399</v>
      </c>
      <c r="BB215" s="23">
        <f t="shared" si="122"/>
        <v>35656.777293017265</v>
      </c>
    </row>
    <row r="216" spans="1:54" s="4" customFormat="1" ht="10.5">
      <c r="A216" s="12"/>
      <c r="B216" s="13">
        <f t="shared" si="99"/>
        <v>2042</v>
      </c>
      <c r="C216" s="78">
        <f t="shared" si="100"/>
        <v>55425.928753026004</v>
      </c>
      <c r="D216" s="78">
        <f ca="1">C216*Zalozenia!$C$501/1000000*Zalozenia!$D$501*Zalozenia!$C590</f>
        <v>4154.234265811755</v>
      </c>
      <c r="E216" s="78">
        <f ca="1">C216*Zalozenia!$C$501/1000000*Zalozenia!$E$501*Zalozenia!$D590</f>
        <v>10552.574020774728</v>
      </c>
      <c r="F216" s="78">
        <f ca="1">C216*Zalozenia!$C$501/1000000*Zalozenia!$E590</f>
        <v>692.79466715947149</v>
      </c>
      <c r="G216" s="79">
        <f t="shared" si="101"/>
        <v>15399.602953745953</v>
      </c>
      <c r="I216" s="12"/>
      <c r="J216" s="13">
        <f t="shared" si="102"/>
        <v>2042</v>
      </c>
      <c r="K216" s="78">
        <f t="shared" si="103"/>
        <v>161761.99319875633</v>
      </c>
      <c r="L216" s="78">
        <f ca="1">K216*Zalozenia!$C$501/1000000*Zalozenia!$D$501*Zalozenia!$C590</f>
        <v>12124.239145304238</v>
      </c>
      <c r="M216" s="78">
        <f ca="1">K216*Zalozenia!$C$501/1000000*Zalozenia!$E$501*Zalozenia!$D590</f>
        <v>30797.957659568125</v>
      </c>
      <c r="N216" s="78">
        <f ca="1">K216*Zalozenia!$C$501/1000000*Zalozenia!$E590</f>
        <v>2021.938987013667</v>
      </c>
      <c r="O216" s="79">
        <f t="shared" si="104"/>
        <v>44944.13579188603</v>
      </c>
      <c r="Q216" s="12"/>
      <c r="R216" s="13">
        <f t="shared" si="105"/>
        <v>2042</v>
      </c>
      <c r="S216" s="78">
        <f t="shared" si="106"/>
        <v>95639.633031384001</v>
      </c>
      <c r="T216" s="78">
        <f ca="1">S216*Zalozenia!$C$501/1000000*Zalozenia!$D$501*Zalozenia!$C590</f>
        <v>7168.2955910223855</v>
      </c>
      <c r="U216" s="78">
        <f ca="1">S216*Zalozenia!$C$501/1000000*Zalozenia!$E$501*Zalozenia!$D590</f>
        <v>18208.883993275638</v>
      </c>
      <c r="V216" s="78">
        <f ca="1">S216*Zalozenia!$C$501/1000000*Zalozenia!$E590</f>
        <v>1195.4446091192337</v>
      </c>
      <c r="W216" s="79">
        <f t="shared" si="107"/>
        <v>26572.624193417258</v>
      </c>
      <c r="Y216" s="12"/>
      <c r="Z216" s="13">
        <f t="shared" si="108"/>
        <v>2042</v>
      </c>
      <c r="AA216" s="78">
        <f t="shared" si="109"/>
        <v>95380.064886089473</v>
      </c>
      <c r="AB216" s="78">
        <f ca="1">AA216*Zalozenia!$C$501/1000000*Zalozenia!$D$501*Zalozenia!$C590</f>
        <v>7148.8406733014654</v>
      </c>
      <c r="AC216" s="78">
        <f ca="1">AA216*Zalozenia!$C$501/1000000*Zalozenia!$E$501*Zalozenia!$D590</f>
        <v>18159.464666828968</v>
      </c>
      <c r="AD216" s="78">
        <f ca="1">AA216*Zalozenia!$C$501/1000000*Zalozenia!$E590</f>
        <v>1192.2001451856509</v>
      </c>
      <c r="AE216" s="79">
        <f t="shared" si="110"/>
        <v>26500.505485316087</v>
      </c>
      <c r="AG216" s="12"/>
      <c r="AH216" s="13">
        <f t="shared" si="111"/>
        <v>2042</v>
      </c>
      <c r="AI216" s="78">
        <f t="shared" si="112"/>
        <v>123080.8437776917</v>
      </c>
      <c r="AJ216" s="78">
        <f ca="1">AI216*Zalozenia!$C$501/1000000*Zalozenia!$D$501*Zalozenia!$C590</f>
        <v>9225.0444907230412</v>
      </c>
      <c r="AK216" s="78">
        <f ca="1">AI216*Zalozenia!$C$501/1000000*Zalozenia!$E$501*Zalozenia!$D590</f>
        <v>23433.431675830827</v>
      </c>
      <c r="AL216" s="78">
        <f ca="1">AI216*Zalozenia!$C$501/1000000*Zalozenia!$E590</f>
        <v>1538.4451666769314</v>
      </c>
      <c r="AM216" s="79">
        <f t="shared" si="113"/>
        <v>34196.921333230799</v>
      </c>
      <c r="AO216" s="12"/>
      <c r="AP216" s="13">
        <f t="shared" si="114"/>
        <v>2042</v>
      </c>
      <c r="AQ216" s="78">
        <f t="shared" si="115"/>
        <v>139746.52800000002</v>
      </c>
      <c r="AR216" s="78">
        <f ca="1">AQ216*Zalozenia!$C$501/1000000*Zalozenia!$D$501*Zalozenia!$C590</f>
        <v>10474.155836570031</v>
      </c>
      <c r="AS216" s="78">
        <f ca="1">AQ216*Zalozenia!$C$501/1000000*Zalozenia!$E$501*Zalozenia!$D590</f>
        <v>26606.420750067402</v>
      </c>
      <c r="AT216" s="78">
        <f ca="1">AQ216*Zalozenia!$C$501/1000000*Zalozenia!$E590</f>
        <v>1746.7573666443268</v>
      </c>
      <c r="AU216" s="79">
        <f t="shared" si="116"/>
        <v>38827.333953281763</v>
      </c>
      <c r="AW216" s="23">
        <f t="shared" si="117"/>
        <v>15399.602953745953</v>
      </c>
      <c r="AX216" s="23">
        <f t="shared" si="118"/>
        <v>44944.13579188603</v>
      </c>
      <c r="AY216" s="23">
        <f t="shared" si="119"/>
        <v>26572.624193417258</v>
      </c>
      <c r="AZ216" s="23">
        <f t="shared" si="120"/>
        <v>26500.505485316087</v>
      </c>
      <c r="BA216" s="23">
        <f t="shared" si="121"/>
        <v>34196.921333230799</v>
      </c>
      <c r="BB216" s="23">
        <f t="shared" si="122"/>
        <v>38827.333953281763</v>
      </c>
    </row>
    <row r="217" spans="1:54" s="4" customFormat="1" ht="10.5">
      <c r="A217" s="12"/>
      <c r="B217" s="13">
        <f t="shared" si="99"/>
        <v>2043</v>
      </c>
      <c r="C217" s="78">
        <f t="shared" si="100"/>
        <v>55787.173240627635</v>
      </c>
      <c r="D217" s="78">
        <f ca="1">C217*Zalozenia!$C$501/1000000*Zalozenia!$D$501*Zalozenia!$C591</f>
        <v>4280.8392128562382</v>
      </c>
      <c r="E217" s="78">
        <f ca="1">C217*Zalozenia!$C$501/1000000*Zalozenia!$E$501*Zalozenia!$D591</f>
        <v>10880.454640204049</v>
      </c>
      <c r="F217" s="78">
        <f ca="1">C217*Zalozenia!$C$501/1000000*Zalozenia!$E591</f>
        <v>714.68832708746856</v>
      </c>
      <c r="G217" s="79">
        <f t="shared" si="101"/>
        <v>15875.982180147756</v>
      </c>
      <c r="I217" s="12"/>
      <c r="J217" s="13">
        <f t="shared" si="102"/>
        <v>2043</v>
      </c>
      <c r="K217" s="78">
        <f t="shared" si="103"/>
        <v>162650.7953591891</v>
      </c>
      <c r="L217" s="78">
        <f ca="1">K217*Zalozenia!$C$501/1000000*Zalozenia!$D$501*Zalozenia!$C591</f>
        <v>12481.039320142447</v>
      </c>
      <c r="M217" s="78">
        <f ca="1">K217*Zalozenia!$C$501/1000000*Zalozenia!$E$501*Zalozenia!$D591</f>
        <v>31722.607515269359</v>
      </c>
      <c r="N217" s="78">
        <f ca="1">K217*Zalozenia!$C$501/1000000*Zalozenia!$E591</f>
        <v>2083.7159884998186</v>
      </c>
      <c r="O217" s="79">
        <f t="shared" si="104"/>
        <v>46287.362823911622</v>
      </c>
      <c r="Q217" s="12"/>
      <c r="R217" s="13">
        <f t="shared" si="105"/>
        <v>2043</v>
      </c>
      <c r="S217" s="78">
        <f t="shared" si="106"/>
        <v>96107.220254916014</v>
      </c>
      <c r="T217" s="78">
        <f ca="1">S217*Zalozenia!$C$501/1000000*Zalozenia!$D$501*Zalozenia!$C591</f>
        <v>7374.8055907273465</v>
      </c>
      <c r="U217" s="78">
        <f ca="1">S217*Zalozenia!$C$501/1000000*Zalozenia!$E$501*Zalozenia!$D591</f>
        <v>18744.277399919913</v>
      </c>
      <c r="V217" s="78">
        <f ca="1">S217*Zalozenia!$C$501/1000000*Zalozenia!$E591</f>
        <v>1231.2276187349628</v>
      </c>
      <c r="W217" s="79">
        <f t="shared" si="107"/>
        <v>27350.310609382221</v>
      </c>
      <c r="Y217" s="12"/>
      <c r="Z217" s="13">
        <f t="shared" si="108"/>
        <v>2043</v>
      </c>
      <c r="AA217" s="78">
        <f t="shared" si="109"/>
        <v>95908.442823424659</v>
      </c>
      <c r="AB217" s="78">
        <f ca="1">AA217*Zalozenia!$C$501/1000000*Zalozenia!$D$501*Zalozenia!$C591</f>
        <v>7359.5523672006993</v>
      </c>
      <c r="AC217" s="78">
        <f ca="1">AA217*Zalozenia!$C$501/1000000*Zalozenia!$E$501*Zalozenia!$D591</f>
        <v>18705.508831784915</v>
      </c>
      <c r="AD217" s="78">
        <f ca="1">AA217*Zalozenia!$C$501/1000000*Zalozenia!$E591</f>
        <v>1228.6810851552357</v>
      </c>
      <c r="AE217" s="79">
        <f t="shared" si="110"/>
        <v>27293.742284140852</v>
      </c>
      <c r="AG217" s="12"/>
      <c r="AH217" s="13">
        <f t="shared" si="111"/>
        <v>2043</v>
      </c>
      <c r="AI217" s="78">
        <f t="shared" si="112"/>
        <v>123685.38783125675</v>
      </c>
      <c r="AJ217" s="78">
        <f ca="1">AI217*Zalozenia!$C$501/1000000*Zalozenia!$D$501*Zalozenia!$C591</f>
        <v>9491.0214575951632</v>
      </c>
      <c r="AK217" s="78">
        <f ca="1">AI217*Zalozenia!$C$501/1000000*Zalozenia!$E$501*Zalozenia!$D591</f>
        <v>24122.986948081729</v>
      </c>
      <c r="AL217" s="78">
        <f ca="1">AI217*Zalozenia!$C$501/1000000*Zalozenia!$E591</f>
        <v>1584.5309554044561</v>
      </c>
      <c r="AM217" s="79">
        <f t="shared" si="113"/>
        <v>35198.539361081348</v>
      </c>
      <c r="AO217" s="12"/>
      <c r="AP217" s="13">
        <f t="shared" si="114"/>
        <v>2043</v>
      </c>
      <c r="AQ217" s="78">
        <f t="shared" si="115"/>
        <v>147966.91200000001</v>
      </c>
      <c r="AR217" s="78">
        <f ca="1">AQ217*Zalozenia!$C$501/1000000*Zalozenia!$D$501*Zalozenia!$C591</f>
        <v>11354.26877362467</v>
      </c>
      <c r="AS217" s="78">
        <f ca="1">AQ217*Zalozenia!$C$501/1000000*Zalozenia!$E$501*Zalozenia!$D591</f>
        <v>28858.735453808615</v>
      </c>
      <c r="AT217" s="78">
        <f ca="1">AQ217*Zalozenia!$C$501/1000000*Zalozenia!$E591</f>
        <v>1895.6010612949442</v>
      </c>
      <c r="AU217" s="79">
        <f t="shared" si="116"/>
        <v>42108.605288728228</v>
      </c>
      <c r="AW217" s="23">
        <f t="shared" si="117"/>
        <v>15875.982180147756</v>
      </c>
      <c r="AX217" s="23">
        <f t="shared" si="118"/>
        <v>46287.362823911622</v>
      </c>
      <c r="AY217" s="23">
        <f t="shared" si="119"/>
        <v>27350.310609382221</v>
      </c>
      <c r="AZ217" s="23">
        <f t="shared" si="120"/>
        <v>27293.742284140852</v>
      </c>
      <c r="BA217" s="23">
        <f t="shared" si="121"/>
        <v>35198.539361081348</v>
      </c>
      <c r="BB217" s="23">
        <f t="shared" si="122"/>
        <v>42108.605288728228</v>
      </c>
    </row>
    <row r="218" spans="1:54" s="4" customFormat="1" ht="10.5">
      <c r="A218" s="43"/>
      <c r="B218" s="13">
        <f t="shared" si="99"/>
        <v>2044</v>
      </c>
      <c r="C218" s="78">
        <f t="shared" si="100"/>
        <v>56148.417728229273</v>
      </c>
      <c r="D218" s="78">
        <f ca="1">C218*Zalozenia!$C$501/1000000*Zalozenia!$D$501*Zalozenia!$C592</f>
        <v>4408.7319319801527</v>
      </c>
      <c r="E218" s="78">
        <f ca="1">C218*Zalozenia!$C$501/1000000*Zalozenia!$E$501*Zalozenia!$D592</f>
        <v>11211.712535276998</v>
      </c>
      <c r="F218" s="78">
        <f ca="1">C218*Zalozenia!$C$501/1000000*Zalozenia!$E592</f>
        <v>736.81755431199042</v>
      </c>
      <c r="G218" s="79">
        <f t="shared" si="101"/>
        <v>16357.262021569142</v>
      </c>
      <c r="I218" s="43"/>
      <c r="J218" s="13">
        <f t="shared" si="102"/>
        <v>2044</v>
      </c>
      <c r="K218" s="78">
        <f t="shared" si="103"/>
        <v>163539.59751962184</v>
      </c>
      <c r="L218" s="78">
        <f ca="1">K218*Zalozenia!$C$501/1000000*Zalozenia!$D$501*Zalozenia!$C592</f>
        <v>12841.007367611834</v>
      </c>
      <c r="M218" s="78">
        <f ca="1">K218*Zalozenia!$C$501/1000000*Zalozenia!$E$501*Zalozenia!$D592</f>
        <v>32655.576589882359</v>
      </c>
      <c r="N218" s="78">
        <f ca="1">K218*Zalozenia!$C$501/1000000*Zalozenia!$E592</f>
        <v>2146.0773277853709</v>
      </c>
      <c r="O218" s="79">
        <f t="shared" si="104"/>
        <v>47642.661285279566</v>
      </c>
      <c r="Q218" s="43"/>
      <c r="R218" s="13">
        <f t="shared" si="105"/>
        <v>2044</v>
      </c>
      <c r="S218" s="78">
        <f t="shared" si="106"/>
        <v>96574.807478448012</v>
      </c>
      <c r="T218" s="78">
        <f ca="1">S218*Zalozenia!$C$501/1000000*Zalozenia!$D$501*Zalozenia!$C592</f>
        <v>7582.9819393291182</v>
      </c>
      <c r="U218" s="78">
        <f ca="1">S218*Zalozenia!$C$501/1000000*Zalozenia!$E$501*Zalozenia!$D592</f>
        <v>19284.051508609187</v>
      </c>
      <c r="V218" s="78">
        <f ca="1">S218*Zalozenia!$C$501/1000000*Zalozenia!$E592</f>
        <v>1267.3200124506068</v>
      </c>
      <c r="W218" s="79">
        <f t="shared" si="107"/>
        <v>28134.353460388913</v>
      </c>
      <c r="Y218" s="43"/>
      <c r="Z218" s="13">
        <f t="shared" si="108"/>
        <v>2044</v>
      </c>
      <c r="AA218" s="78">
        <f t="shared" si="109"/>
        <v>96436.820760759831</v>
      </c>
      <c r="AB218" s="78">
        <f ca="1">AA218*Zalozenia!$C$501/1000000*Zalozenia!$D$501*Zalozenia!$C592</f>
        <v>7572.1473250501258</v>
      </c>
      <c r="AC218" s="78">
        <f ca="1">AA218*Zalozenia!$C$501/1000000*Zalozenia!$E$501*Zalozenia!$D592</f>
        <v>19256.498329463611</v>
      </c>
      <c r="AD218" s="78">
        <f ca="1">AA218*Zalozenia!$C$501/1000000*Zalozenia!$E592</f>
        <v>1265.5092573132731</v>
      </c>
      <c r="AE218" s="79">
        <f t="shared" si="110"/>
        <v>28094.154911827009</v>
      </c>
      <c r="AG218" s="43"/>
      <c r="AH218" s="13">
        <f t="shared" si="111"/>
        <v>2044</v>
      </c>
      <c r="AI218" s="78">
        <f t="shared" si="112"/>
        <v>124289.9318848218</v>
      </c>
      <c r="AJ218" s="78">
        <f ca="1">AI218*Zalozenia!$C$501/1000000*Zalozenia!$D$501*Zalozenia!$C592</f>
        <v>9759.152861199118</v>
      </c>
      <c r="AK218" s="78">
        <f ca="1">AI218*Zalozenia!$C$501/1000000*Zalozenia!$E$501*Zalozenia!$D592</f>
        <v>24818.20581421622</v>
      </c>
      <c r="AL218" s="78">
        <f ca="1">AI218*Zalozenia!$C$501/1000000*Zalozenia!$E592</f>
        <v>1631.0166402237878</v>
      </c>
      <c r="AM218" s="79">
        <f t="shared" si="113"/>
        <v>36208.375315639125</v>
      </c>
      <c r="AO218" s="43"/>
      <c r="AP218" s="13">
        <f t="shared" si="114"/>
        <v>2044</v>
      </c>
      <c r="AQ218" s="78">
        <f t="shared" si="115"/>
        <v>156187.296</v>
      </c>
      <c r="AR218" s="78">
        <f ca="1">AQ218*Zalozenia!$C$501/1000000*Zalozenia!$D$501*Zalozenia!$C592</f>
        <v>12263.710129424366</v>
      </c>
      <c r="AS218" s="78">
        <f ca="1">AQ218*Zalozenia!$C$501/1000000*Zalozenia!$E$501*Zalozenia!$D592</f>
        <v>31187.469482934681</v>
      </c>
      <c r="AT218" s="78">
        <f ca="1">AQ218*Zalozenia!$C$501/1000000*Zalozenia!$E592</f>
        <v>2049.5954491601701</v>
      </c>
      <c r="AU218" s="79">
        <f t="shared" si="116"/>
        <v>45500.77506151922</v>
      </c>
      <c r="AW218" s="23">
        <f t="shared" si="117"/>
        <v>16357.262021569142</v>
      </c>
      <c r="AX218" s="23">
        <f t="shared" si="118"/>
        <v>47642.661285279566</v>
      </c>
      <c r="AY218" s="23">
        <f t="shared" si="119"/>
        <v>28134.353460388913</v>
      </c>
      <c r="AZ218" s="23">
        <f t="shared" si="120"/>
        <v>28094.154911827009</v>
      </c>
      <c r="BA218" s="23">
        <f t="shared" si="121"/>
        <v>36208.375315639125</v>
      </c>
      <c r="BB218" s="23">
        <f t="shared" si="122"/>
        <v>45500.77506151922</v>
      </c>
    </row>
    <row r="220" spans="1:54" s="2" customFormat="1" ht="18" customHeight="1">
      <c r="A220" s="1" t="s">
        <v>147</v>
      </c>
      <c r="E220" s="3"/>
    </row>
    <row r="221" spans="1:54" s="4" customFormat="1" ht="10.5"/>
    <row r="222" spans="1:54" s="4" customFormat="1" ht="10.5">
      <c r="A222" s="150" t="s">
        <v>189</v>
      </c>
      <c r="B222" s="172"/>
      <c r="C222" s="172"/>
      <c r="D222" s="172"/>
      <c r="E222" s="172"/>
      <c r="F222" s="172"/>
      <c r="G222" s="173"/>
      <c r="I222" s="150" t="s">
        <v>190</v>
      </c>
      <c r="J222" s="172"/>
      <c r="K222" s="172"/>
      <c r="L222" s="172"/>
      <c r="M222" s="172"/>
      <c r="N222" s="172"/>
      <c r="O222" s="173"/>
      <c r="Q222" s="150" t="s">
        <v>191</v>
      </c>
      <c r="R222" s="172"/>
      <c r="S222" s="172"/>
      <c r="T222" s="172"/>
      <c r="U222" s="172"/>
      <c r="V222" s="172"/>
      <c r="W222" s="173"/>
      <c r="Y222" s="150" t="s">
        <v>192</v>
      </c>
      <c r="Z222" s="172"/>
      <c r="AA222" s="172"/>
      <c r="AB222" s="172"/>
      <c r="AC222" s="172"/>
      <c r="AD222" s="172"/>
      <c r="AE222" s="173"/>
      <c r="AG222" s="150" t="s">
        <v>193</v>
      </c>
      <c r="AH222" s="172"/>
      <c r="AI222" s="172"/>
      <c r="AJ222" s="172"/>
      <c r="AK222" s="172"/>
      <c r="AL222" s="172"/>
      <c r="AM222" s="173"/>
      <c r="AO222" s="150" t="s">
        <v>309</v>
      </c>
      <c r="AP222" s="172"/>
      <c r="AQ222" s="172"/>
      <c r="AR222" s="172"/>
      <c r="AS222" s="172"/>
      <c r="AT222" s="172"/>
      <c r="AU222" s="173"/>
    </row>
    <row r="223" spans="1:54" s="4" customFormat="1" ht="10.5">
      <c r="A223" s="134" t="s">
        <v>5</v>
      </c>
      <c r="B223" s="134"/>
      <c r="C223" s="6">
        <v>1</v>
      </c>
      <c r="D223" s="6">
        <v>2</v>
      </c>
      <c r="E223" s="6">
        <v>3</v>
      </c>
      <c r="F223" s="6">
        <v>4</v>
      </c>
      <c r="G223" s="6">
        <v>5</v>
      </c>
      <c r="I223" s="134" t="s">
        <v>5</v>
      </c>
      <c r="J223" s="134"/>
      <c r="K223" s="6">
        <v>1</v>
      </c>
      <c r="L223" s="6">
        <v>2</v>
      </c>
      <c r="M223" s="6">
        <v>3</v>
      </c>
      <c r="N223" s="6">
        <v>4</v>
      </c>
      <c r="O223" s="6">
        <v>5</v>
      </c>
      <c r="Q223" s="134" t="s">
        <v>5</v>
      </c>
      <c r="R223" s="134"/>
      <c r="S223" s="6">
        <v>1</v>
      </c>
      <c r="T223" s="6">
        <v>2</v>
      </c>
      <c r="U223" s="6">
        <v>3</v>
      </c>
      <c r="V223" s="6">
        <v>4</v>
      </c>
      <c r="W223" s="6">
        <v>5</v>
      </c>
      <c r="Y223" s="134" t="s">
        <v>5</v>
      </c>
      <c r="Z223" s="134"/>
      <c r="AA223" s="6">
        <v>1</v>
      </c>
      <c r="AB223" s="6">
        <v>2</v>
      </c>
      <c r="AC223" s="6">
        <v>3</v>
      </c>
      <c r="AD223" s="6">
        <v>4</v>
      </c>
      <c r="AE223" s="6">
        <v>5</v>
      </c>
      <c r="AG223" s="134" t="s">
        <v>5</v>
      </c>
      <c r="AH223" s="134"/>
      <c r="AI223" s="6">
        <v>1</v>
      </c>
      <c r="AJ223" s="6">
        <v>2</v>
      </c>
      <c r="AK223" s="6">
        <v>3</v>
      </c>
      <c r="AL223" s="6">
        <v>4</v>
      </c>
      <c r="AM223" s="6">
        <v>5</v>
      </c>
      <c r="AO223" s="134" t="s">
        <v>5</v>
      </c>
      <c r="AP223" s="134"/>
      <c r="AQ223" s="6">
        <v>1</v>
      </c>
      <c r="AR223" s="6">
        <v>2</v>
      </c>
      <c r="AS223" s="6">
        <v>3</v>
      </c>
      <c r="AT223" s="6">
        <v>4</v>
      </c>
      <c r="AU223" s="6">
        <v>5</v>
      </c>
    </row>
    <row r="224" spans="1:54" s="4" customFormat="1" ht="42">
      <c r="A224" s="134" t="s">
        <v>6</v>
      </c>
      <c r="B224" s="134"/>
      <c r="C224" s="35" t="s">
        <v>171</v>
      </c>
      <c r="D224" s="35" t="s">
        <v>172</v>
      </c>
      <c r="E224" s="35" t="s">
        <v>173</v>
      </c>
      <c r="F224" s="35" t="s">
        <v>174</v>
      </c>
      <c r="G224" s="35" t="s">
        <v>169</v>
      </c>
      <c r="I224" s="134" t="s">
        <v>6</v>
      </c>
      <c r="J224" s="134"/>
      <c r="K224" s="35" t="s">
        <v>171</v>
      </c>
      <c r="L224" s="35" t="s">
        <v>172</v>
      </c>
      <c r="M224" s="35" t="s">
        <v>173</v>
      </c>
      <c r="N224" s="35" t="s">
        <v>174</v>
      </c>
      <c r="O224" s="35" t="s">
        <v>169</v>
      </c>
      <c r="Q224" s="134" t="s">
        <v>6</v>
      </c>
      <c r="R224" s="134"/>
      <c r="S224" s="35" t="s">
        <v>171</v>
      </c>
      <c r="T224" s="35" t="s">
        <v>172</v>
      </c>
      <c r="U224" s="35" t="s">
        <v>173</v>
      </c>
      <c r="V224" s="35" t="s">
        <v>174</v>
      </c>
      <c r="W224" s="35" t="s">
        <v>169</v>
      </c>
      <c r="Y224" s="134" t="s">
        <v>6</v>
      </c>
      <c r="Z224" s="134"/>
      <c r="AA224" s="35" t="s">
        <v>171</v>
      </c>
      <c r="AB224" s="35" t="s">
        <v>172</v>
      </c>
      <c r="AC224" s="35" t="s">
        <v>173</v>
      </c>
      <c r="AD224" s="35" t="s">
        <v>174</v>
      </c>
      <c r="AE224" s="35" t="s">
        <v>169</v>
      </c>
      <c r="AG224" s="134" t="s">
        <v>6</v>
      </c>
      <c r="AH224" s="134"/>
      <c r="AI224" s="35" t="s">
        <v>171</v>
      </c>
      <c r="AJ224" s="35" t="s">
        <v>172</v>
      </c>
      <c r="AK224" s="35" t="s">
        <v>173</v>
      </c>
      <c r="AL224" s="35" t="s">
        <v>174</v>
      </c>
      <c r="AM224" s="35" t="s">
        <v>169</v>
      </c>
      <c r="AO224" s="134" t="s">
        <v>6</v>
      </c>
      <c r="AP224" s="134"/>
      <c r="AQ224" s="35" t="s">
        <v>171</v>
      </c>
      <c r="AR224" s="35" t="s">
        <v>172</v>
      </c>
      <c r="AS224" s="35" t="s">
        <v>173</v>
      </c>
      <c r="AT224" s="35" t="s">
        <v>174</v>
      </c>
      <c r="AU224" s="35" t="s">
        <v>169</v>
      </c>
      <c r="AW224" s="128" t="s">
        <v>189</v>
      </c>
      <c r="AX224" s="128" t="s">
        <v>190</v>
      </c>
      <c r="AY224" s="128" t="s">
        <v>191</v>
      </c>
      <c r="AZ224" s="128" t="s">
        <v>192</v>
      </c>
      <c r="BA224" s="128" t="s">
        <v>193</v>
      </c>
      <c r="BB224" s="128" t="s">
        <v>309</v>
      </c>
    </row>
    <row r="225" spans="1:54" s="4" customFormat="1" ht="21">
      <c r="A225" s="8"/>
      <c r="B225" s="9" t="s">
        <v>22</v>
      </c>
      <c r="C225" s="36" t="s">
        <v>164</v>
      </c>
      <c r="D225" s="36" t="s">
        <v>164</v>
      </c>
      <c r="E225" s="36" t="s">
        <v>28</v>
      </c>
      <c r="F225" s="36" t="s">
        <v>28</v>
      </c>
      <c r="G225" s="36" t="s">
        <v>28</v>
      </c>
      <c r="I225" s="8"/>
      <c r="J225" s="9" t="s">
        <v>22</v>
      </c>
      <c r="K225" s="36" t="s">
        <v>164</v>
      </c>
      <c r="L225" s="36" t="s">
        <v>164</v>
      </c>
      <c r="M225" s="36" t="s">
        <v>28</v>
      </c>
      <c r="N225" s="36" t="s">
        <v>28</v>
      </c>
      <c r="O225" s="36" t="s">
        <v>28</v>
      </c>
      <c r="Q225" s="8"/>
      <c r="R225" s="9" t="s">
        <v>22</v>
      </c>
      <c r="S225" s="36" t="s">
        <v>164</v>
      </c>
      <c r="T225" s="36" t="s">
        <v>164</v>
      </c>
      <c r="U225" s="36" t="s">
        <v>28</v>
      </c>
      <c r="V225" s="36" t="s">
        <v>28</v>
      </c>
      <c r="W225" s="36" t="s">
        <v>28</v>
      </c>
      <c r="Y225" s="8"/>
      <c r="Z225" s="9" t="s">
        <v>22</v>
      </c>
      <c r="AA225" s="36" t="s">
        <v>164</v>
      </c>
      <c r="AB225" s="36" t="s">
        <v>164</v>
      </c>
      <c r="AC225" s="36" t="s">
        <v>28</v>
      </c>
      <c r="AD225" s="36" t="s">
        <v>28</v>
      </c>
      <c r="AE225" s="36" t="s">
        <v>28</v>
      </c>
      <c r="AG225" s="8"/>
      <c r="AH225" s="9" t="s">
        <v>22</v>
      </c>
      <c r="AI225" s="36" t="s">
        <v>164</v>
      </c>
      <c r="AJ225" s="36" t="s">
        <v>164</v>
      </c>
      <c r="AK225" s="36" t="s">
        <v>28</v>
      </c>
      <c r="AL225" s="36" t="s">
        <v>28</v>
      </c>
      <c r="AM225" s="36" t="s">
        <v>28</v>
      </c>
      <c r="AO225" s="8"/>
      <c r="AP225" s="9" t="s">
        <v>22</v>
      </c>
      <c r="AQ225" s="36" t="s">
        <v>164</v>
      </c>
      <c r="AR225" s="36" t="s">
        <v>164</v>
      </c>
      <c r="AS225" s="36" t="s">
        <v>28</v>
      </c>
      <c r="AT225" s="36" t="s">
        <v>28</v>
      </c>
      <c r="AU225" s="36" t="s">
        <v>28</v>
      </c>
    </row>
    <row r="226" spans="1:54" s="4" customFormat="1" ht="10.5">
      <c r="A226" s="12"/>
      <c r="B226" s="13">
        <f t="shared" ref="B226:B253" si="123">B189</f>
        <v>2015</v>
      </c>
      <c r="C226" s="78">
        <f>C152</f>
        <v>36790.347752836373</v>
      </c>
      <c r="D226" s="78">
        <f t="shared" ref="C226:D241" si="124">D152</f>
        <v>1064.98375074</v>
      </c>
      <c r="E226" s="78">
        <f ca="1">C226*Zalozenia!$C637</f>
        <v>1227.9146465986666</v>
      </c>
      <c r="F226" s="78">
        <f ca="1">D226*Zalozenia!$D637</f>
        <v>965.26612720696153</v>
      </c>
      <c r="G226" s="78">
        <f t="shared" ref="G226:G255" si="125">SUM(E226:F226)</f>
        <v>2193.1807738056282</v>
      </c>
      <c r="I226" s="12"/>
      <c r="J226" s="13">
        <f t="shared" ref="J226:J253" si="126">J189</f>
        <v>2015</v>
      </c>
      <c r="K226" s="78">
        <f t="shared" ref="K226:L255" si="127">L152</f>
        <v>109313.92285036366</v>
      </c>
      <c r="L226" s="78">
        <f t="shared" si="127"/>
        <v>3164.3503982999996</v>
      </c>
      <c r="M226" s="78">
        <f ca="1">K226*Zalozenia!$C637</f>
        <v>3648.4614890537368</v>
      </c>
      <c r="N226" s="78">
        <f ca="1">L226*Zalozenia!$D637</f>
        <v>2868.0627774559753</v>
      </c>
      <c r="O226" s="78">
        <f t="shared" ref="O226:O255" si="128">SUM(M226:N226)</f>
        <v>6516.5242665097121</v>
      </c>
      <c r="Q226" s="12"/>
      <c r="R226" s="13">
        <f t="shared" ref="R226:R253" si="129">R189</f>
        <v>2015</v>
      </c>
      <c r="S226" s="78">
        <f t="shared" ref="S226:S255" si="130">U152</f>
        <v>67811.053564800008</v>
      </c>
      <c r="T226" s="78">
        <f t="shared" ref="T226:T255" si="131">V152</f>
        <v>1962.9515505600002</v>
      </c>
      <c r="U226" s="78">
        <f ca="1">S226*Zalozenia!$C637</f>
        <v>2263.2617237787649</v>
      </c>
      <c r="V226" s="78">
        <f ca="1">T226*Zalozenia!$D637</f>
        <v>1779.1545080264157</v>
      </c>
      <c r="W226" s="78">
        <f t="shared" ref="W226:W255" si="132">SUM(U226:V226)</f>
        <v>4042.4162318051804</v>
      </c>
      <c r="Y226" s="12"/>
      <c r="Z226" s="13">
        <f t="shared" ref="Z226:Z253" si="133">Z189</f>
        <v>2015</v>
      </c>
      <c r="AA226" s="78">
        <f t="shared" ref="AA226:AA255" si="134">AD152</f>
        <v>64187.621807400006</v>
      </c>
      <c r="AB226" s="78">
        <f t="shared" ref="AB226:AB255" si="135">AE152</f>
        <v>1858.0627365299999</v>
      </c>
      <c r="AC226" s="78">
        <f ca="1">AA226*Zalozenia!$C637</f>
        <v>2142.3260654437822</v>
      </c>
      <c r="AD226" s="78">
        <f ca="1">AB226*Zalozenia!$D637</f>
        <v>1684.0867483204863</v>
      </c>
      <c r="AE226" s="78">
        <f t="shared" ref="AE226:AE255" si="136">SUM(AC226:AD226)</f>
        <v>3826.4128137642683</v>
      </c>
      <c r="AG226" s="12"/>
      <c r="AH226" s="13">
        <f t="shared" ref="AH226:AH253" si="137">AH189</f>
        <v>2015</v>
      </c>
      <c r="AI226" s="78">
        <f>AM152</f>
        <v>87262.874229109118</v>
      </c>
      <c r="AJ226" s="78">
        <f>AN152</f>
        <v>2526.0305697899998</v>
      </c>
      <c r="AK226" s="78">
        <f ca="1">AI226*Zalozenia!$C637</f>
        <v>2912.4856902707456</v>
      </c>
      <c r="AL226" s="78">
        <f ca="1">AJ226*Zalozenia!$D637</f>
        <v>2289.5107494488525</v>
      </c>
      <c r="AM226" s="78">
        <f t="shared" ref="AM226:AM255" si="138">SUM(AK226:AL226)</f>
        <v>5201.9964397195981</v>
      </c>
      <c r="AO226" s="12"/>
      <c r="AP226" s="13">
        <f t="shared" ref="AP226:AP253" si="139">AP189</f>
        <v>2015</v>
      </c>
      <c r="AQ226" s="78">
        <f t="shared" ref="AQ226:AQ255" si="140">AV152</f>
        <v>0</v>
      </c>
      <c r="AR226" s="78">
        <f t="shared" ref="AR226:AR255" si="141">AW152</f>
        <v>0</v>
      </c>
      <c r="AS226" s="78">
        <f ca="1">AQ226*Zalozenia!$C637</f>
        <v>0</v>
      </c>
      <c r="AT226" s="78">
        <f ca="1">AR226*Zalozenia!$D637</f>
        <v>0</v>
      </c>
      <c r="AU226" s="78">
        <f t="shared" ref="AU226:AU255" si="142">SUM(AS226:AT226)</f>
        <v>0</v>
      </c>
      <c r="AW226" s="23">
        <f>G226</f>
        <v>2193.1807738056282</v>
      </c>
      <c r="AX226" s="23">
        <f>O226</f>
        <v>6516.5242665097121</v>
      </c>
      <c r="AY226" s="23">
        <f>W226</f>
        <v>4042.4162318051804</v>
      </c>
      <c r="AZ226" s="23">
        <f>AE226</f>
        <v>3826.4128137642683</v>
      </c>
      <c r="BA226" s="23">
        <f>AM226</f>
        <v>5201.9964397195981</v>
      </c>
      <c r="BB226" s="23">
        <f>AU226</f>
        <v>0</v>
      </c>
    </row>
    <row r="227" spans="1:54" s="4" customFormat="1" ht="10.5">
      <c r="A227" s="12"/>
      <c r="B227" s="13">
        <f t="shared" si="123"/>
        <v>2016</v>
      </c>
      <c r="C227" s="78">
        <f t="shared" si="124"/>
        <v>37379.862883669099</v>
      </c>
      <c r="D227" s="78">
        <f t="shared" si="124"/>
        <v>1082.048662422</v>
      </c>
      <c r="E227" s="78">
        <f ca="1">C227*Zalozenia!$C638</f>
        <v>1301.2366866603693</v>
      </c>
      <c r="F227" s="78">
        <f ca="1">D227*Zalozenia!$D638</f>
        <v>1022.9047276140187</v>
      </c>
      <c r="G227" s="78">
        <f t="shared" si="125"/>
        <v>2324.1414142743879</v>
      </c>
      <c r="I227" s="12"/>
      <c r="J227" s="13">
        <f t="shared" si="126"/>
        <v>2016</v>
      </c>
      <c r="K227" s="78">
        <f t="shared" si="127"/>
        <v>111084.0785517273</v>
      </c>
      <c r="L227" s="78">
        <f t="shared" si="127"/>
        <v>3215.5917475500005</v>
      </c>
      <c r="M227" s="78">
        <f ca="1">K227*Zalozenia!$C638</f>
        <v>3866.9665205893752</v>
      </c>
      <c r="N227" s="78">
        <f ca="1">L227*Zalozenia!$D638</f>
        <v>3039.8300140060719</v>
      </c>
      <c r="O227" s="78">
        <f t="shared" si="128"/>
        <v>6906.7965345954472</v>
      </c>
      <c r="Q227" s="12"/>
      <c r="R227" s="13">
        <f t="shared" si="129"/>
        <v>2016</v>
      </c>
      <c r="S227" s="78">
        <f t="shared" si="130"/>
        <v>68624.827886160012</v>
      </c>
      <c r="T227" s="78">
        <f t="shared" si="131"/>
        <v>1986.5081756520001</v>
      </c>
      <c r="U227" s="78">
        <f ca="1">S227*Zalozenia!$C638</f>
        <v>2388.9104125162007</v>
      </c>
      <c r="V227" s="78">
        <f ca="1">T227*Zalozenia!$D638</f>
        <v>1877.9271902337466</v>
      </c>
      <c r="W227" s="78">
        <f t="shared" si="132"/>
        <v>4266.8376027499471</v>
      </c>
      <c r="Y227" s="12"/>
      <c r="Z227" s="13">
        <f t="shared" si="133"/>
        <v>2016</v>
      </c>
      <c r="AA227" s="78">
        <f t="shared" si="134"/>
        <v>65251.751795312746</v>
      </c>
      <c r="AB227" s="78">
        <f t="shared" si="135"/>
        <v>1888.866499338</v>
      </c>
      <c r="AC227" s="78">
        <f ca="1">AA227*Zalozenia!$C638</f>
        <v>2271.4896940409335</v>
      </c>
      <c r="AD227" s="78">
        <f ca="1">AB227*Zalozenia!$D638</f>
        <v>1785.6225316889206</v>
      </c>
      <c r="AE227" s="78">
        <f t="shared" si="136"/>
        <v>4057.1122257298539</v>
      </c>
      <c r="AG227" s="12"/>
      <c r="AH227" s="13">
        <f t="shared" si="137"/>
        <v>2016</v>
      </c>
      <c r="AI227" s="78">
        <f t="shared" ref="AI227:AI255" si="143">AM153</f>
        <v>88306.496460000009</v>
      </c>
      <c r="AJ227" s="78">
        <f t="shared" ref="AJ227:AJ255" si="144">AN153</f>
        <v>2556.240687</v>
      </c>
      <c r="AK227" s="78">
        <f ca="1">AI227*Zalozenia!$C638</f>
        <v>3074.0522837604653</v>
      </c>
      <c r="AL227" s="78">
        <f ca="1">AJ227*Zalozenia!$D638</f>
        <v>2416.5185674725562</v>
      </c>
      <c r="AM227" s="78">
        <f t="shared" si="138"/>
        <v>5490.570851233022</v>
      </c>
      <c r="AO227" s="12"/>
      <c r="AP227" s="13">
        <f t="shared" si="139"/>
        <v>2016</v>
      </c>
      <c r="AQ227" s="78">
        <f t="shared" si="140"/>
        <v>0</v>
      </c>
      <c r="AR227" s="78">
        <f t="shared" si="141"/>
        <v>0</v>
      </c>
      <c r="AS227" s="78">
        <f ca="1">AQ227*Zalozenia!$C638</f>
        <v>0</v>
      </c>
      <c r="AT227" s="78">
        <f ca="1">AR227*Zalozenia!$D638</f>
        <v>0</v>
      </c>
      <c r="AU227" s="78">
        <f t="shared" si="142"/>
        <v>0</v>
      </c>
      <c r="AW227" s="23">
        <f t="shared" ref="AW227:AW255" si="145">G227</f>
        <v>2324.1414142743879</v>
      </c>
      <c r="AX227" s="23">
        <f t="shared" ref="AX227:AX255" si="146">O227</f>
        <v>6906.7965345954472</v>
      </c>
      <c r="AY227" s="23">
        <f t="shared" ref="AY227:AY255" si="147">W227</f>
        <v>4266.8376027499471</v>
      </c>
      <c r="AZ227" s="23">
        <f t="shared" ref="AZ227:AZ255" si="148">AE227</f>
        <v>4057.1122257298539</v>
      </c>
      <c r="BA227" s="23">
        <f t="shared" ref="BA227:BA255" si="149">AM227</f>
        <v>5490.570851233022</v>
      </c>
      <c r="BB227" s="23">
        <f t="shared" ref="BB227:BB255" si="150">AU227</f>
        <v>0</v>
      </c>
    </row>
    <row r="228" spans="1:54" s="4" customFormat="1" ht="10.5">
      <c r="A228" s="12"/>
      <c r="B228" s="13">
        <f t="shared" si="123"/>
        <v>2017</v>
      </c>
      <c r="C228" s="78">
        <f t="shared" si="124"/>
        <v>37969.378014501825</v>
      </c>
      <c r="D228" s="78">
        <f t="shared" si="124"/>
        <v>1099.113574104</v>
      </c>
      <c r="E228" s="78">
        <f ca="1">C228*Zalozenia!$C639</f>
        <v>1375.9504911919805</v>
      </c>
      <c r="F228" s="78">
        <f ca="1">D228*Zalozenia!$D639</f>
        <v>1081.6373968177747</v>
      </c>
      <c r="G228" s="78">
        <f t="shared" si="125"/>
        <v>2457.5878880097553</v>
      </c>
      <c r="I228" s="12"/>
      <c r="J228" s="13">
        <f t="shared" si="126"/>
        <v>2017</v>
      </c>
      <c r="K228" s="78">
        <f t="shared" si="127"/>
        <v>112854.23425309092</v>
      </c>
      <c r="L228" s="78">
        <f t="shared" si="127"/>
        <v>3266.8330968000005</v>
      </c>
      <c r="M228" s="78">
        <f ca="1">K228*Zalozenia!$C639</f>
        <v>4089.6598041276252</v>
      </c>
      <c r="N228" s="78">
        <f ca="1">L228*Zalozenia!$D639</f>
        <v>3214.8896437217081</v>
      </c>
      <c r="O228" s="78">
        <f t="shared" si="128"/>
        <v>7304.5494478493329</v>
      </c>
      <c r="Q228" s="12"/>
      <c r="R228" s="13">
        <f t="shared" si="129"/>
        <v>2017</v>
      </c>
      <c r="S228" s="78">
        <f t="shared" si="130"/>
        <v>69438.602207520016</v>
      </c>
      <c r="T228" s="78">
        <f t="shared" si="131"/>
        <v>2010.0648007440002</v>
      </c>
      <c r="U228" s="78">
        <f ca="1">S228*Zalozenia!$C639</f>
        <v>2516.3456398635267</v>
      </c>
      <c r="V228" s="78">
        <f ca="1">T228*Zalozenia!$D639</f>
        <v>1978.1042739683755</v>
      </c>
      <c r="W228" s="78">
        <f t="shared" si="132"/>
        <v>4494.4499138319024</v>
      </c>
      <c r="Y228" s="12"/>
      <c r="Z228" s="13">
        <f t="shared" si="133"/>
        <v>2017</v>
      </c>
      <c r="AA228" s="78">
        <f t="shared" si="134"/>
        <v>66315.881783225457</v>
      </c>
      <c r="AB228" s="78">
        <f t="shared" si="135"/>
        <v>1919.6702621459999</v>
      </c>
      <c r="AC228" s="78">
        <f ca="1">AA228*Zalozenia!$C639</f>
        <v>2403.1831671987843</v>
      </c>
      <c r="AD228" s="78">
        <f ca="1">AB228*Zalozenia!$D639</f>
        <v>1889.1470308596363</v>
      </c>
      <c r="AE228" s="78">
        <f t="shared" si="136"/>
        <v>4292.3301980584201</v>
      </c>
      <c r="AG228" s="12"/>
      <c r="AH228" s="13">
        <f t="shared" si="137"/>
        <v>2017</v>
      </c>
      <c r="AI228" s="78">
        <f t="shared" si="143"/>
        <v>89350.118690890929</v>
      </c>
      <c r="AJ228" s="78">
        <f t="shared" si="144"/>
        <v>2586.4508042100001</v>
      </c>
      <c r="AK228" s="78">
        <f ca="1">AI228*Zalozenia!$C639</f>
        <v>3237.9076542638536</v>
      </c>
      <c r="AL228" s="78">
        <f ca="1">AJ228*Zalozenia!$D639</f>
        <v>2545.3255976240271</v>
      </c>
      <c r="AM228" s="78">
        <f t="shared" si="138"/>
        <v>5783.2332518878811</v>
      </c>
      <c r="AO228" s="12"/>
      <c r="AP228" s="13">
        <f t="shared" si="139"/>
        <v>2017</v>
      </c>
      <c r="AQ228" s="78">
        <f t="shared" si="140"/>
        <v>0</v>
      </c>
      <c r="AR228" s="78">
        <f t="shared" si="141"/>
        <v>0</v>
      </c>
      <c r="AS228" s="78">
        <f ca="1">AQ228*Zalozenia!$C639</f>
        <v>0</v>
      </c>
      <c r="AT228" s="78">
        <f ca="1">AR228*Zalozenia!$D639</f>
        <v>0</v>
      </c>
      <c r="AU228" s="78">
        <f t="shared" si="142"/>
        <v>0</v>
      </c>
      <c r="AW228" s="23">
        <f t="shared" si="145"/>
        <v>2457.5878880097553</v>
      </c>
      <c r="AX228" s="23">
        <f t="shared" si="146"/>
        <v>7304.5494478493329</v>
      </c>
      <c r="AY228" s="23">
        <f t="shared" si="147"/>
        <v>4494.4499138319024</v>
      </c>
      <c r="AZ228" s="23">
        <f t="shared" si="148"/>
        <v>4292.3301980584201</v>
      </c>
      <c r="BA228" s="23">
        <f t="shared" si="149"/>
        <v>5783.2332518878811</v>
      </c>
      <c r="BB228" s="23">
        <f t="shared" si="150"/>
        <v>0</v>
      </c>
    </row>
    <row r="229" spans="1:54" s="4" customFormat="1" ht="10.5">
      <c r="A229" s="12"/>
      <c r="B229" s="13">
        <f t="shared" si="123"/>
        <v>2018</v>
      </c>
      <c r="C229" s="78">
        <f t="shared" si="124"/>
        <v>38558.893145334543</v>
      </c>
      <c r="D229" s="78">
        <f t="shared" si="124"/>
        <v>1116.178485786</v>
      </c>
      <c r="E229" s="78">
        <f ca="1">C229*Zalozenia!$C640</f>
        <v>1454.6034488249077</v>
      </c>
      <c r="F229" s="78">
        <f ca="1">D229*Zalozenia!$D640</f>
        <v>1143.4666420491196</v>
      </c>
      <c r="G229" s="78">
        <f t="shared" si="125"/>
        <v>2598.0700908740273</v>
      </c>
      <c r="I229" s="12"/>
      <c r="J229" s="13">
        <f t="shared" si="126"/>
        <v>2018</v>
      </c>
      <c r="K229" s="78">
        <f t="shared" si="127"/>
        <v>114624.38995445456</v>
      </c>
      <c r="L229" s="78">
        <f t="shared" si="127"/>
        <v>3318.0744460499996</v>
      </c>
      <c r="M229" s="78">
        <f ca="1">K229*Zalozenia!$C640</f>
        <v>4324.113566194902</v>
      </c>
      <c r="N229" s="78">
        <f ca="1">L229*Zalozenia!$D640</f>
        <v>3399.1942088204819</v>
      </c>
      <c r="O229" s="78">
        <f t="shared" si="128"/>
        <v>7723.3077750153843</v>
      </c>
      <c r="Q229" s="12"/>
      <c r="R229" s="13">
        <f t="shared" si="129"/>
        <v>2018</v>
      </c>
      <c r="S229" s="78">
        <f t="shared" si="130"/>
        <v>70252.37652888002</v>
      </c>
      <c r="T229" s="78">
        <f t="shared" si="131"/>
        <v>2033.6214258360003</v>
      </c>
      <c r="U229" s="78">
        <f ca="1">S229*Zalozenia!$C640</f>
        <v>2650.2147974498939</v>
      </c>
      <c r="V229" s="78">
        <f ca="1">T229*Zalozenia!$D640</f>
        <v>2083.3390829624614</v>
      </c>
      <c r="W229" s="78">
        <f t="shared" si="132"/>
        <v>4733.5538804123553</v>
      </c>
      <c r="Y229" s="12"/>
      <c r="Z229" s="13">
        <f t="shared" si="133"/>
        <v>2018</v>
      </c>
      <c r="AA229" s="78">
        <f t="shared" si="134"/>
        <v>67380.01177113819</v>
      </c>
      <c r="AB229" s="78">
        <f t="shared" si="135"/>
        <v>1950.474024954</v>
      </c>
      <c r="AC229" s="78">
        <f ca="1">AA229*Zalozenia!$C640</f>
        <v>2541.8571309798972</v>
      </c>
      <c r="AD229" s="78">
        <f ca="1">AB229*Zalozenia!$D640</f>
        <v>1998.1589074865819</v>
      </c>
      <c r="AE229" s="78">
        <f t="shared" si="136"/>
        <v>4540.0160384664796</v>
      </c>
      <c r="AG229" s="12"/>
      <c r="AH229" s="13">
        <f t="shared" si="137"/>
        <v>2018</v>
      </c>
      <c r="AI229" s="78">
        <f t="shared" si="143"/>
        <v>90393.740921781835</v>
      </c>
      <c r="AJ229" s="78">
        <f t="shared" si="144"/>
        <v>2616.6609214199998</v>
      </c>
      <c r="AK229" s="78">
        <f ca="1">AI229*Zalozenia!$C640</f>
        <v>3410.0316832595181</v>
      </c>
      <c r="AL229" s="78">
        <f ca="1">AJ229*Zalozenia!$D640</f>
        <v>2680.6326365359973</v>
      </c>
      <c r="AM229" s="78">
        <f t="shared" si="138"/>
        <v>6090.6643197955154</v>
      </c>
      <c r="AO229" s="12"/>
      <c r="AP229" s="13">
        <f t="shared" si="139"/>
        <v>2018</v>
      </c>
      <c r="AQ229" s="78">
        <f t="shared" si="140"/>
        <v>0</v>
      </c>
      <c r="AR229" s="78">
        <f t="shared" si="141"/>
        <v>0</v>
      </c>
      <c r="AS229" s="78">
        <f ca="1">AQ229*Zalozenia!$C640</f>
        <v>0</v>
      </c>
      <c r="AT229" s="78">
        <f ca="1">AR229*Zalozenia!$D640</f>
        <v>0</v>
      </c>
      <c r="AU229" s="78">
        <f t="shared" si="142"/>
        <v>0</v>
      </c>
      <c r="AW229" s="23">
        <f t="shared" si="145"/>
        <v>2598.0700908740273</v>
      </c>
      <c r="AX229" s="23">
        <f t="shared" si="146"/>
        <v>7723.3077750153843</v>
      </c>
      <c r="AY229" s="23">
        <f t="shared" si="147"/>
        <v>4733.5538804123553</v>
      </c>
      <c r="AZ229" s="23">
        <f t="shared" si="148"/>
        <v>4540.0160384664796</v>
      </c>
      <c r="BA229" s="23">
        <f t="shared" si="149"/>
        <v>6090.6643197955154</v>
      </c>
      <c r="BB229" s="23">
        <f t="shared" si="150"/>
        <v>0</v>
      </c>
    </row>
    <row r="230" spans="1:54" s="4" customFormat="1" ht="10.5">
      <c r="A230" s="12"/>
      <c r="B230" s="13">
        <f t="shared" si="123"/>
        <v>2019</v>
      </c>
      <c r="C230" s="78">
        <f t="shared" si="124"/>
        <v>39148.408276167276</v>
      </c>
      <c r="D230" s="78">
        <f t="shared" si="124"/>
        <v>1133.243397468</v>
      </c>
      <c r="E230" s="78">
        <f ca="1">C230*Zalozenia!$C641</f>
        <v>1537.392976208042</v>
      </c>
      <c r="F230" s="78">
        <f ca="1">D230*Zalozenia!$D641</f>
        <v>1208.5476529253842</v>
      </c>
      <c r="G230" s="78">
        <f t="shared" si="125"/>
        <v>2745.9406291334262</v>
      </c>
      <c r="I230" s="12"/>
      <c r="J230" s="13">
        <f t="shared" si="126"/>
        <v>2019</v>
      </c>
      <c r="K230" s="78">
        <f t="shared" si="127"/>
        <v>116394.5456558182</v>
      </c>
      <c r="L230" s="78">
        <f t="shared" si="127"/>
        <v>3369.3157953000004</v>
      </c>
      <c r="M230" s="78">
        <f ca="1">K230*Zalozenia!$C641</f>
        <v>4570.9178186209574</v>
      </c>
      <c r="N230" s="78">
        <f ca="1">L230*Zalozenia!$D641</f>
        <v>3593.2075187662608</v>
      </c>
      <c r="O230" s="78">
        <f t="shared" si="128"/>
        <v>8164.1253373872187</v>
      </c>
      <c r="Q230" s="12"/>
      <c r="R230" s="13">
        <f t="shared" si="129"/>
        <v>2019</v>
      </c>
      <c r="S230" s="78">
        <f t="shared" si="130"/>
        <v>71066.15085024001</v>
      </c>
      <c r="T230" s="78">
        <f t="shared" si="131"/>
        <v>2057.1780509280002</v>
      </c>
      <c r="U230" s="78">
        <f ca="1">S230*Zalozenia!$C641</f>
        <v>2790.8312489377317</v>
      </c>
      <c r="V230" s="78">
        <f ca="1">T230*Zalozenia!$D641</f>
        <v>2193.8779530095212</v>
      </c>
      <c r="W230" s="78">
        <f t="shared" si="132"/>
        <v>4984.709201947253</v>
      </c>
      <c r="Y230" s="12"/>
      <c r="Z230" s="13">
        <f t="shared" si="133"/>
        <v>2019</v>
      </c>
      <c r="AA230" s="78">
        <f t="shared" si="134"/>
        <v>68444.141759050937</v>
      </c>
      <c r="AB230" s="78">
        <f t="shared" si="135"/>
        <v>1981.2777877620003</v>
      </c>
      <c r="AC230" s="78">
        <f ca="1">AA230*Zalozenia!$C641</f>
        <v>2687.8626088870014</v>
      </c>
      <c r="AD230" s="78">
        <f ca="1">AB230*Zalozenia!$D641</f>
        <v>2112.9341018380624</v>
      </c>
      <c r="AE230" s="78">
        <f t="shared" si="136"/>
        <v>4800.7967107250643</v>
      </c>
      <c r="AG230" s="12"/>
      <c r="AH230" s="13">
        <f t="shared" si="137"/>
        <v>2019</v>
      </c>
      <c r="AI230" s="78">
        <f t="shared" si="143"/>
        <v>91437.36315267274</v>
      </c>
      <c r="AJ230" s="78">
        <f t="shared" si="144"/>
        <v>2646.8710386300004</v>
      </c>
      <c r="AK230" s="78">
        <f ca="1">AI230*Zalozenia!$C641</f>
        <v>3590.8269598660104</v>
      </c>
      <c r="AL230" s="78">
        <f ca="1">AJ230*Zalozenia!$D641</f>
        <v>2822.756160309144</v>
      </c>
      <c r="AM230" s="78">
        <f t="shared" si="138"/>
        <v>6413.5831201751544</v>
      </c>
      <c r="AO230" s="12"/>
      <c r="AP230" s="13">
        <f t="shared" si="139"/>
        <v>2019</v>
      </c>
      <c r="AQ230" s="78">
        <f t="shared" si="140"/>
        <v>0</v>
      </c>
      <c r="AR230" s="78">
        <f t="shared" si="141"/>
        <v>0</v>
      </c>
      <c r="AS230" s="78">
        <f ca="1">AQ230*Zalozenia!$C641</f>
        <v>0</v>
      </c>
      <c r="AT230" s="78">
        <f ca="1">AR230*Zalozenia!$D641</f>
        <v>0</v>
      </c>
      <c r="AU230" s="78">
        <f t="shared" si="142"/>
        <v>0</v>
      </c>
      <c r="AW230" s="23">
        <f t="shared" si="145"/>
        <v>2745.9406291334262</v>
      </c>
      <c r="AX230" s="23">
        <f t="shared" si="146"/>
        <v>8164.1253373872187</v>
      </c>
      <c r="AY230" s="23">
        <f t="shared" si="147"/>
        <v>4984.709201947253</v>
      </c>
      <c r="AZ230" s="23">
        <f t="shared" si="148"/>
        <v>4800.7967107250643</v>
      </c>
      <c r="BA230" s="23">
        <f t="shared" si="149"/>
        <v>6413.5831201751544</v>
      </c>
      <c r="BB230" s="23">
        <f t="shared" si="150"/>
        <v>0</v>
      </c>
    </row>
    <row r="231" spans="1:54" s="4" customFormat="1" ht="10.5">
      <c r="A231" s="12"/>
      <c r="B231" s="13">
        <f t="shared" si="123"/>
        <v>2020</v>
      </c>
      <c r="C231" s="78">
        <f t="shared" si="124"/>
        <v>39737.923407000002</v>
      </c>
      <c r="D231" s="78">
        <f t="shared" si="124"/>
        <v>1150.30830915</v>
      </c>
      <c r="E231" s="78">
        <f ca="1">C231*Zalozenia!$C642</f>
        <v>1624.5260564391181</v>
      </c>
      <c r="F231" s="78">
        <f ca="1">D231*Zalozenia!$D642</f>
        <v>1277.0431392682178</v>
      </c>
      <c r="G231" s="78">
        <f t="shared" si="125"/>
        <v>2901.5691957073359</v>
      </c>
      <c r="I231" s="12"/>
      <c r="J231" s="13">
        <f t="shared" si="126"/>
        <v>2020</v>
      </c>
      <c r="K231" s="78">
        <f t="shared" si="127"/>
        <v>118164.70135718184</v>
      </c>
      <c r="L231" s="78">
        <f t="shared" si="127"/>
        <v>3420.5571445500004</v>
      </c>
      <c r="M231" s="78">
        <f ca="1">K231*Zalozenia!$C642</f>
        <v>4830.6911848411755</v>
      </c>
      <c r="N231" s="78">
        <f ca="1">L231*Zalozenia!$D642</f>
        <v>3797.4158746625653</v>
      </c>
      <c r="O231" s="78">
        <f t="shared" si="128"/>
        <v>8628.1070595037418</v>
      </c>
      <c r="Q231" s="12"/>
      <c r="R231" s="13">
        <f t="shared" si="129"/>
        <v>2020</v>
      </c>
      <c r="S231" s="78">
        <f t="shared" si="130"/>
        <v>71879.9251716</v>
      </c>
      <c r="T231" s="78">
        <f t="shared" si="131"/>
        <v>2080.7346760199998</v>
      </c>
      <c r="U231" s="78">
        <f ca="1">S231*Zalozenia!$C642</f>
        <v>2938.5232383730595</v>
      </c>
      <c r="V231" s="78">
        <f ca="1">T231*Zalozenia!$D642</f>
        <v>2309.9789174019797</v>
      </c>
      <c r="W231" s="78">
        <f t="shared" si="132"/>
        <v>5248.5021557750388</v>
      </c>
      <c r="Y231" s="12"/>
      <c r="Z231" s="13">
        <f t="shared" si="133"/>
        <v>2020</v>
      </c>
      <c r="AA231" s="78">
        <f t="shared" si="134"/>
        <v>69508.271746963655</v>
      </c>
      <c r="AB231" s="78">
        <f t="shared" si="135"/>
        <v>2012.0815505700002</v>
      </c>
      <c r="AC231" s="78">
        <f ca="1">AA231*Zalozenia!$C642</f>
        <v>2841.5676741453094</v>
      </c>
      <c r="AD231" s="78">
        <f ca="1">AB231*Zalozenia!$D642</f>
        <v>2233.7619570028787</v>
      </c>
      <c r="AE231" s="78">
        <f t="shared" si="136"/>
        <v>5075.3296311481881</v>
      </c>
      <c r="AG231" s="12"/>
      <c r="AH231" s="13">
        <f t="shared" si="137"/>
        <v>2020</v>
      </c>
      <c r="AI231" s="78">
        <f t="shared" si="143"/>
        <v>92480.98538356366</v>
      </c>
      <c r="AJ231" s="78">
        <f t="shared" si="144"/>
        <v>2677.0811558400005</v>
      </c>
      <c r="AK231" s="78">
        <f ca="1">AI231*Zalozenia!$C642</f>
        <v>3780.7151858946759</v>
      </c>
      <c r="AL231" s="78">
        <f ca="1">AJ231*Zalozenia!$D642</f>
        <v>2972.0276695696712</v>
      </c>
      <c r="AM231" s="78">
        <f t="shared" si="138"/>
        <v>6752.7428554643466</v>
      </c>
      <c r="AO231" s="12"/>
      <c r="AP231" s="13">
        <f t="shared" si="139"/>
        <v>2020</v>
      </c>
      <c r="AQ231" s="78">
        <f t="shared" si="140"/>
        <v>0</v>
      </c>
      <c r="AR231" s="78">
        <f t="shared" si="141"/>
        <v>0</v>
      </c>
      <c r="AS231" s="78">
        <f ca="1">AQ231*Zalozenia!$C642</f>
        <v>0</v>
      </c>
      <c r="AT231" s="78">
        <f ca="1">AR231*Zalozenia!$D642</f>
        <v>0</v>
      </c>
      <c r="AU231" s="78">
        <f t="shared" si="142"/>
        <v>0</v>
      </c>
      <c r="AW231" s="23">
        <f t="shared" si="145"/>
        <v>2901.5691957073359</v>
      </c>
      <c r="AX231" s="23">
        <f t="shared" si="146"/>
        <v>8628.1070595037418</v>
      </c>
      <c r="AY231" s="23">
        <f t="shared" si="147"/>
        <v>5248.5021557750388</v>
      </c>
      <c r="AZ231" s="23">
        <f t="shared" si="148"/>
        <v>5075.3296311481881</v>
      </c>
      <c r="BA231" s="23">
        <f t="shared" si="149"/>
        <v>6752.7428554643466</v>
      </c>
      <c r="BB231" s="23">
        <f t="shared" si="150"/>
        <v>0</v>
      </c>
    </row>
    <row r="232" spans="1:54" s="4" customFormat="1" ht="10.5">
      <c r="A232" s="12"/>
      <c r="B232" s="13">
        <f t="shared" si="123"/>
        <v>2021</v>
      </c>
      <c r="C232" s="78">
        <f t="shared" si="124"/>
        <v>40327.438537832735</v>
      </c>
      <c r="D232" s="78">
        <f t="shared" si="124"/>
        <v>1167.373220832</v>
      </c>
      <c r="E232" s="78">
        <f ca="1">C232*Zalozenia!$C643</f>
        <v>1716.219691656137</v>
      </c>
      <c r="F232" s="78">
        <f ca="1">D232*Zalozenia!$D643</f>
        <v>1349.1236868865963</v>
      </c>
      <c r="G232" s="78">
        <f t="shared" si="125"/>
        <v>3065.3433785427333</v>
      </c>
      <c r="I232" s="12"/>
      <c r="J232" s="13">
        <f t="shared" si="126"/>
        <v>2021</v>
      </c>
      <c r="K232" s="78">
        <f t="shared" si="127"/>
        <v>119934.85705854549</v>
      </c>
      <c r="L232" s="78">
        <f t="shared" si="127"/>
        <v>3471.7984938000004</v>
      </c>
      <c r="M232" s="78">
        <f ca="1">K232*Zalozenia!$C643</f>
        <v>5104.0822542383503</v>
      </c>
      <c r="N232" s="78">
        <f ca="1">L232*Zalozenia!$D643</f>
        <v>4012.3291339033208</v>
      </c>
      <c r="O232" s="78">
        <f t="shared" si="128"/>
        <v>9116.4113881416706</v>
      </c>
      <c r="Q232" s="12"/>
      <c r="R232" s="13">
        <f t="shared" si="129"/>
        <v>2021</v>
      </c>
      <c r="S232" s="78">
        <f t="shared" si="130"/>
        <v>72693.699492960004</v>
      </c>
      <c r="T232" s="78">
        <f t="shared" si="131"/>
        <v>2104.2913011120004</v>
      </c>
      <c r="U232" s="78">
        <f ca="1">S232*Zalozenia!$C643</f>
        <v>3093.6345836126202</v>
      </c>
      <c r="V232" s="78">
        <f ca="1">T232*Zalozenia!$D643</f>
        <v>2431.9122520356118</v>
      </c>
      <c r="W232" s="78">
        <f t="shared" si="132"/>
        <v>5525.5468356482324</v>
      </c>
      <c r="Y232" s="12"/>
      <c r="Z232" s="13">
        <f t="shared" si="133"/>
        <v>2021</v>
      </c>
      <c r="AA232" s="78">
        <f t="shared" si="134"/>
        <v>70572.401734876374</v>
      </c>
      <c r="AB232" s="78">
        <f t="shared" si="135"/>
        <v>2042.8853133780001</v>
      </c>
      <c r="AC232" s="78">
        <f ca="1">AA232*Zalozenia!$C643</f>
        <v>3003.3582577092593</v>
      </c>
      <c r="AD232" s="78">
        <f ca="1">AB232*Zalozenia!$D643</f>
        <v>2360.9458540660203</v>
      </c>
      <c r="AE232" s="78">
        <f t="shared" si="136"/>
        <v>5364.30411177528</v>
      </c>
      <c r="AG232" s="12"/>
      <c r="AH232" s="13">
        <f t="shared" si="137"/>
        <v>2021</v>
      </c>
      <c r="AI232" s="78">
        <f t="shared" si="143"/>
        <v>93524.607614454566</v>
      </c>
      <c r="AJ232" s="78">
        <f t="shared" si="144"/>
        <v>2707.2912730500002</v>
      </c>
      <c r="AK232" s="78">
        <f ca="1">AI232*Zalozenia!$C643</f>
        <v>3980.1380663381565</v>
      </c>
      <c r="AL232" s="78">
        <f ca="1">AJ232*Zalozenia!$D643</f>
        <v>3128.7943894840814</v>
      </c>
      <c r="AM232" s="78">
        <f t="shared" si="138"/>
        <v>7108.9324558222379</v>
      </c>
      <c r="AO232" s="12"/>
      <c r="AP232" s="13">
        <f t="shared" si="139"/>
        <v>2021</v>
      </c>
      <c r="AQ232" s="78">
        <f t="shared" si="140"/>
        <v>0</v>
      </c>
      <c r="AR232" s="78">
        <f t="shared" si="141"/>
        <v>0</v>
      </c>
      <c r="AS232" s="78">
        <f ca="1">AQ232*Zalozenia!$C643</f>
        <v>0</v>
      </c>
      <c r="AT232" s="78">
        <f ca="1">AR232*Zalozenia!$D643</f>
        <v>0</v>
      </c>
      <c r="AU232" s="78">
        <f t="shared" si="142"/>
        <v>0</v>
      </c>
      <c r="AW232" s="23">
        <f t="shared" si="145"/>
        <v>3065.3433785427333</v>
      </c>
      <c r="AX232" s="23">
        <f t="shared" si="146"/>
        <v>9116.4113881416706</v>
      </c>
      <c r="AY232" s="23">
        <f t="shared" si="147"/>
        <v>5525.5468356482324</v>
      </c>
      <c r="AZ232" s="23">
        <f t="shared" si="148"/>
        <v>5364.30411177528</v>
      </c>
      <c r="BA232" s="23">
        <f t="shared" si="149"/>
        <v>7108.9324558222379</v>
      </c>
      <c r="BB232" s="23">
        <f t="shared" si="150"/>
        <v>0</v>
      </c>
    </row>
    <row r="233" spans="1:54" s="4" customFormat="1" ht="10.5">
      <c r="A233" s="12"/>
      <c r="B233" s="13">
        <f t="shared" si="123"/>
        <v>2022</v>
      </c>
      <c r="C233" s="78">
        <f t="shared" si="124"/>
        <v>40916.953668665468</v>
      </c>
      <c r="D233" s="78">
        <f t="shared" si="124"/>
        <v>1184.438132514</v>
      </c>
      <c r="E233" s="78">
        <f ca="1">C233*Zalozenia!$C644</f>
        <v>1812.7013766600774</v>
      </c>
      <c r="F233" s="78">
        <f ca="1">D233*Zalozenia!$D644</f>
        <v>1424.9681298925718</v>
      </c>
      <c r="G233" s="78">
        <f t="shared" si="125"/>
        <v>3237.6695065526492</v>
      </c>
      <c r="I233" s="12"/>
      <c r="J233" s="13">
        <f t="shared" si="126"/>
        <v>2022</v>
      </c>
      <c r="K233" s="78">
        <f t="shared" si="127"/>
        <v>121705.01275990911</v>
      </c>
      <c r="L233" s="78">
        <f t="shared" si="127"/>
        <v>3523.0398430500004</v>
      </c>
      <c r="M233" s="78">
        <f ca="1">K233*Zalozenia!$C644</f>
        <v>5391.770999444373</v>
      </c>
      <c r="N233" s="78">
        <f ca="1">L233*Zalozenia!$D644</f>
        <v>4238.48182431651</v>
      </c>
      <c r="O233" s="78">
        <f t="shared" si="128"/>
        <v>9630.2528237608822</v>
      </c>
      <c r="Q233" s="12"/>
      <c r="R233" s="13">
        <f t="shared" si="129"/>
        <v>2022</v>
      </c>
      <c r="S233" s="78">
        <f t="shared" si="130"/>
        <v>73507.473814320008</v>
      </c>
      <c r="T233" s="78">
        <f t="shared" si="131"/>
        <v>2127.847926204</v>
      </c>
      <c r="U233" s="78">
        <f ca="1">S233*Zalozenia!$C644</f>
        <v>3256.5254015981195</v>
      </c>
      <c r="V233" s="78">
        <f ca="1">T233*Zalozenia!$D644</f>
        <v>2559.9610455490479</v>
      </c>
      <c r="W233" s="78">
        <f t="shared" si="132"/>
        <v>5816.4864471471674</v>
      </c>
      <c r="Y233" s="12"/>
      <c r="Z233" s="13">
        <f t="shared" si="133"/>
        <v>2022</v>
      </c>
      <c r="AA233" s="78">
        <f t="shared" si="134"/>
        <v>71636.531722789106</v>
      </c>
      <c r="AB233" s="78">
        <f t="shared" si="135"/>
        <v>2073.6890761860004</v>
      </c>
      <c r="AC233" s="78">
        <f ca="1">AA233*Zalozenia!$C644</f>
        <v>3173.6389938652155</v>
      </c>
      <c r="AD233" s="78">
        <f ca="1">AB233*Zalozenia!$D644</f>
        <v>2494.8038768386182</v>
      </c>
      <c r="AE233" s="78">
        <f t="shared" si="136"/>
        <v>5668.4428707038333</v>
      </c>
      <c r="AG233" s="12"/>
      <c r="AH233" s="13">
        <f t="shared" si="137"/>
        <v>2022</v>
      </c>
      <c r="AI233" s="78">
        <f t="shared" si="143"/>
        <v>94568.229845345471</v>
      </c>
      <c r="AJ233" s="78">
        <f t="shared" si="144"/>
        <v>2737.5013902599999</v>
      </c>
      <c r="AK233" s="78">
        <f ca="1">AI233*Zalozenia!$C644</f>
        <v>4189.5582407505126</v>
      </c>
      <c r="AL233" s="78">
        <f ca="1">AJ233*Zalozenia!$D644</f>
        <v>3293.4200019189266</v>
      </c>
      <c r="AM233" s="78">
        <f t="shared" si="138"/>
        <v>7482.9782426694392</v>
      </c>
      <c r="AO233" s="12"/>
      <c r="AP233" s="13">
        <f t="shared" si="139"/>
        <v>2022</v>
      </c>
      <c r="AQ233" s="78">
        <f t="shared" si="140"/>
        <v>0</v>
      </c>
      <c r="AR233" s="78">
        <f t="shared" si="141"/>
        <v>0</v>
      </c>
      <c r="AS233" s="78">
        <f ca="1">AQ233*Zalozenia!$C644</f>
        <v>0</v>
      </c>
      <c r="AT233" s="78">
        <f ca="1">AR233*Zalozenia!$D644</f>
        <v>0</v>
      </c>
      <c r="AU233" s="78">
        <f t="shared" si="142"/>
        <v>0</v>
      </c>
      <c r="AW233" s="23">
        <f t="shared" si="145"/>
        <v>3237.6695065526492</v>
      </c>
      <c r="AX233" s="23">
        <f t="shared" si="146"/>
        <v>9630.2528237608822</v>
      </c>
      <c r="AY233" s="23">
        <f t="shared" si="147"/>
        <v>5816.4864471471674</v>
      </c>
      <c r="AZ233" s="23">
        <f t="shared" si="148"/>
        <v>5668.4428707038333</v>
      </c>
      <c r="BA233" s="23">
        <f t="shared" si="149"/>
        <v>7482.9782426694392</v>
      </c>
      <c r="BB233" s="23">
        <f t="shared" si="150"/>
        <v>0</v>
      </c>
    </row>
    <row r="234" spans="1:54" s="4" customFormat="1" ht="10.5">
      <c r="A234" s="12"/>
      <c r="B234" s="13">
        <f t="shared" si="123"/>
        <v>2023</v>
      </c>
      <c r="C234" s="78">
        <f t="shared" si="124"/>
        <v>41506.468799498187</v>
      </c>
      <c r="D234" s="78">
        <f t="shared" si="124"/>
        <v>1201.503044196</v>
      </c>
      <c r="E234" s="78">
        <f ca="1">C234*Zalozenia!$C645</f>
        <v>1914.209594532666</v>
      </c>
      <c r="F234" s="78">
        <f ca="1">D234*Zalozenia!$D645</f>
        <v>1504.7639403073811</v>
      </c>
      <c r="G234" s="78">
        <f t="shared" si="125"/>
        <v>3418.9735348400473</v>
      </c>
      <c r="I234" s="12"/>
      <c r="J234" s="13">
        <f t="shared" si="126"/>
        <v>2023</v>
      </c>
      <c r="K234" s="78">
        <f t="shared" si="127"/>
        <v>123475.16846127274</v>
      </c>
      <c r="L234" s="78">
        <f t="shared" si="127"/>
        <v>3574.2811923000004</v>
      </c>
      <c r="M234" s="78">
        <f ca="1">K234*Zalozenia!$C645</f>
        <v>5694.4702594879154</v>
      </c>
      <c r="N234" s="78">
        <f ca="1">L234*Zalozenia!$D645</f>
        <v>4476.4343100694896</v>
      </c>
      <c r="O234" s="78">
        <f t="shared" si="128"/>
        <v>10170.904569557406</v>
      </c>
      <c r="Q234" s="12"/>
      <c r="R234" s="13">
        <f t="shared" si="129"/>
        <v>2023</v>
      </c>
      <c r="S234" s="78">
        <f t="shared" si="130"/>
        <v>74321.248135679998</v>
      </c>
      <c r="T234" s="78">
        <f t="shared" si="131"/>
        <v>2151.4045512959997</v>
      </c>
      <c r="U234" s="78">
        <f ca="1">S234*Zalozenia!$C645</f>
        <v>3427.5728669233763</v>
      </c>
      <c r="V234" s="78">
        <f ca="1">T234*Zalozenia!$D645</f>
        <v>2694.4217956349139</v>
      </c>
      <c r="W234" s="78">
        <f t="shared" si="132"/>
        <v>6121.9946625582907</v>
      </c>
      <c r="Y234" s="12"/>
      <c r="Z234" s="13">
        <f t="shared" si="133"/>
        <v>2023</v>
      </c>
      <c r="AA234" s="78">
        <f t="shared" si="134"/>
        <v>72700.661710701839</v>
      </c>
      <c r="AB234" s="78">
        <f t="shared" si="135"/>
        <v>2104.4928389940001</v>
      </c>
      <c r="AC234" s="78">
        <f ca="1">AA234*Zalozenia!$C645</f>
        <v>3352.8341051547509</v>
      </c>
      <c r="AD234" s="78">
        <f ca="1">AB234*Zalozenia!$D645</f>
        <v>2635.6695074978829</v>
      </c>
      <c r="AE234" s="78">
        <f t="shared" si="136"/>
        <v>5988.5036126526338</v>
      </c>
      <c r="AG234" s="12"/>
      <c r="AH234" s="13">
        <f t="shared" si="137"/>
        <v>2023</v>
      </c>
      <c r="AI234" s="78">
        <f t="shared" si="143"/>
        <v>95611.852076236377</v>
      </c>
      <c r="AJ234" s="78">
        <f t="shared" si="144"/>
        <v>2767.71150747</v>
      </c>
      <c r="AK234" s="78">
        <f ca="1">AI234*Zalozenia!$C645</f>
        <v>4409.4602573751681</v>
      </c>
      <c r="AL234" s="78">
        <f ca="1">AJ234*Zalozenia!$D645</f>
        <v>3466.2854112047066</v>
      </c>
      <c r="AM234" s="78">
        <f t="shared" si="138"/>
        <v>7875.7456685798752</v>
      </c>
      <c r="AO234" s="12"/>
      <c r="AP234" s="13">
        <f t="shared" si="139"/>
        <v>2023</v>
      </c>
      <c r="AQ234" s="78">
        <f t="shared" si="140"/>
        <v>0</v>
      </c>
      <c r="AR234" s="78">
        <f t="shared" si="141"/>
        <v>0</v>
      </c>
      <c r="AS234" s="78">
        <f ca="1">AQ234*Zalozenia!$C645</f>
        <v>0</v>
      </c>
      <c r="AT234" s="78">
        <f ca="1">AR234*Zalozenia!$D645</f>
        <v>0</v>
      </c>
      <c r="AU234" s="78">
        <f t="shared" si="142"/>
        <v>0</v>
      </c>
      <c r="AW234" s="23">
        <f t="shared" si="145"/>
        <v>3418.9735348400473</v>
      </c>
      <c r="AX234" s="23">
        <f t="shared" si="146"/>
        <v>10170.904569557406</v>
      </c>
      <c r="AY234" s="23">
        <f t="shared" si="147"/>
        <v>6121.9946625582907</v>
      </c>
      <c r="AZ234" s="23">
        <f t="shared" si="148"/>
        <v>5988.5036126526338</v>
      </c>
      <c r="BA234" s="23">
        <f t="shared" si="149"/>
        <v>7875.7456685798752</v>
      </c>
      <c r="BB234" s="23">
        <f t="shared" si="150"/>
        <v>0</v>
      </c>
    </row>
    <row r="235" spans="1:54" s="4" customFormat="1" ht="10.5">
      <c r="A235" s="12"/>
      <c r="B235" s="13">
        <f t="shared" si="123"/>
        <v>2024</v>
      </c>
      <c r="C235" s="78">
        <f t="shared" si="124"/>
        <v>42095.983930330913</v>
      </c>
      <c r="D235" s="78">
        <f t="shared" si="124"/>
        <v>1218.567955878</v>
      </c>
      <c r="E235" s="78">
        <f ca="1">C235*Zalozenia!$C646</f>
        <v>2020.9943352566418</v>
      </c>
      <c r="F235" s="78">
        <f ca="1">D235*Zalozenia!$D646</f>
        <v>1588.7076357498552</v>
      </c>
      <c r="G235" s="78">
        <f t="shared" si="125"/>
        <v>3609.7019710064969</v>
      </c>
      <c r="I235" s="12"/>
      <c r="J235" s="13">
        <f t="shared" si="126"/>
        <v>2024</v>
      </c>
      <c r="K235" s="78">
        <f t="shared" si="127"/>
        <v>125245.32416263639</v>
      </c>
      <c r="L235" s="78">
        <f t="shared" si="127"/>
        <v>3625.5225415500004</v>
      </c>
      <c r="M235" s="78">
        <f ca="1">K235*Zalozenia!$C646</f>
        <v>6012.9272918049637</v>
      </c>
      <c r="N235" s="78">
        <f ca="1">L235*Zalozenia!$D646</f>
        <v>4726.7740117075373</v>
      </c>
      <c r="O235" s="78">
        <f t="shared" si="128"/>
        <v>10739.701303512502</v>
      </c>
      <c r="Q235" s="12"/>
      <c r="R235" s="13">
        <f t="shared" si="129"/>
        <v>2024</v>
      </c>
      <c r="S235" s="78">
        <f t="shared" si="130"/>
        <v>75135.022457040002</v>
      </c>
      <c r="T235" s="78">
        <f t="shared" si="131"/>
        <v>2174.9611763880002</v>
      </c>
      <c r="U235" s="78">
        <f ca="1">S235*Zalozenia!$C646</f>
        <v>3607.1720052052183</v>
      </c>
      <c r="V235" s="78">
        <f ca="1">T235*Zalozenia!$D646</f>
        <v>2835.6050327102544</v>
      </c>
      <c r="W235" s="78">
        <f t="shared" si="132"/>
        <v>6442.7770379154726</v>
      </c>
      <c r="Y235" s="12"/>
      <c r="Z235" s="13">
        <f t="shared" si="133"/>
        <v>2024</v>
      </c>
      <c r="AA235" s="78">
        <f t="shared" si="134"/>
        <v>73764.791698614557</v>
      </c>
      <c r="AB235" s="78">
        <f t="shared" si="135"/>
        <v>2135.2966018020002</v>
      </c>
      <c r="AC235" s="78">
        <f ca="1">AA235*Zalozenia!$C646</f>
        <v>3541.3883284213398</v>
      </c>
      <c r="AD235" s="78">
        <f ca="1">AB235*Zalozenia!$D646</f>
        <v>2783.8923545542425</v>
      </c>
      <c r="AE235" s="78">
        <f t="shared" si="136"/>
        <v>6325.2806829755827</v>
      </c>
      <c r="AG235" s="12"/>
      <c r="AH235" s="13">
        <f t="shared" si="137"/>
        <v>2024</v>
      </c>
      <c r="AI235" s="78">
        <f t="shared" si="143"/>
        <v>96655.474307127282</v>
      </c>
      <c r="AJ235" s="78">
        <f t="shared" si="144"/>
        <v>2797.9216246800001</v>
      </c>
      <c r="AK235" s="78">
        <f ca="1">AI235*Zalozenia!$C646</f>
        <v>4640.3515919603442</v>
      </c>
      <c r="AL235" s="78">
        <f ca="1">AJ235*Zalozenia!$D646</f>
        <v>3647.7895450286951</v>
      </c>
      <c r="AM235" s="78">
        <f t="shared" si="138"/>
        <v>8288.1411369890393</v>
      </c>
      <c r="AO235" s="12"/>
      <c r="AP235" s="13">
        <f t="shared" si="139"/>
        <v>2024</v>
      </c>
      <c r="AQ235" s="78">
        <f t="shared" si="140"/>
        <v>0</v>
      </c>
      <c r="AR235" s="78">
        <f t="shared" si="141"/>
        <v>0</v>
      </c>
      <c r="AS235" s="78">
        <f ca="1">AQ235*Zalozenia!$C646</f>
        <v>0</v>
      </c>
      <c r="AT235" s="78">
        <f ca="1">AR235*Zalozenia!$D646</f>
        <v>0</v>
      </c>
      <c r="AU235" s="78">
        <f t="shared" si="142"/>
        <v>0</v>
      </c>
      <c r="AW235" s="23">
        <f t="shared" si="145"/>
        <v>3609.7019710064969</v>
      </c>
      <c r="AX235" s="23">
        <f t="shared" si="146"/>
        <v>10739.701303512502</v>
      </c>
      <c r="AY235" s="23">
        <f t="shared" si="147"/>
        <v>6442.7770379154726</v>
      </c>
      <c r="AZ235" s="23">
        <f t="shared" si="148"/>
        <v>6325.2806829755827</v>
      </c>
      <c r="BA235" s="23">
        <f t="shared" si="149"/>
        <v>8288.1411369890393</v>
      </c>
      <c r="BB235" s="23">
        <f t="shared" si="150"/>
        <v>0</v>
      </c>
    </row>
    <row r="236" spans="1:54" s="4" customFormat="1" ht="10.5">
      <c r="A236" s="12"/>
      <c r="B236" s="13">
        <f t="shared" si="123"/>
        <v>2025</v>
      </c>
      <c r="C236" s="78">
        <f t="shared" si="124"/>
        <v>48783.427498472724</v>
      </c>
      <c r="D236" s="78">
        <f t="shared" si="124"/>
        <v>1412.1518486399998</v>
      </c>
      <c r="E236" s="78">
        <f ca="1">C236*Zalozenia!$C647</f>
        <v>2438.0773010189419</v>
      </c>
      <c r="F236" s="78">
        <f ca="1">D236*Zalozenia!$D647</f>
        <v>1916.5773783256632</v>
      </c>
      <c r="G236" s="78">
        <f t="shared" si="125"/>
        <v>4354.654679344605</v>
      </c>
      <c r="I236" s="12"/>
      <c r="J236" s="13">
        <f t="shared" si="126"/>
        <v>2025</v>
      </c>
      <c r="K236" s="78">
        <f t="shared" si="127"/>
        <v>145160.54841600001</v>
      </c>
      <c r="L236" s="78">
        <f t="shared" si="127"/>
        <v>4202.0158751999998</v>
      </c>
      <c r="M236" s="78">
        <f ca="1">K236*Zalozenia!$C647</f>
        <v>7254.7718814466398</v>
      </c>
      <c r="N236" s="78">
        <f ca="1">L236*Zalozenia!$D647</f>
        <v>5702.9904946339175</v>
      </c>
      <c r="O236" s="78">
        <f t="shared" si="128"/>
        <v>12957.762376080558</v>
      </c>
      <c r="Q236" s="12"/>
      <c r="R236" s="13">
        <f t="shared" si="129"/>
        <v>2025</v>
      </c>
      <c r="S236" s="78">
        <f t="shared" si="130"/>
        <v>86798.624889600003</v>
      </c>
      <c r="T236" s="78">
        <f t="shared" si="131"/>
        <v>2512.5917731199997</v>
      </c>
      <c r="U236" s="78">
        <f ca="1">S236*Zalozenia!$C647</f>
        <v>4337.9845975278558</v>
      </c>
      <c r="V236" s="78">
        <f ca="1">T236*Zalozenia!$D647</f>
        <v>3410.0982539283527</v>
      </c>
      <c r="W236" s="78">
        <f t="shared" si="132"/>
        <v>7748.082851456209</v>
      </c>
      <c r="Y236" s="12"/>
      <c r="Z236" s="13">
        <f t="shared" si="133"/>
        <v>2025</v>
      </c>
      <c r="AA236" s="78">
        <f t="shared" si="134"/>
        <v>85518.767641745464</v>
      </c>
      <c r="AB236" s="78">
        <f t="shared" si="135"/>
        <v>2475.54327384</v>
      </c>
      <c r="AC236" s="78">
        <f ca="1">AA236*Zalozenia!$C647</f>
        <v>4274.0204387028853</v>
      </c>
      <c r="AD236" s="78">
        <f ca="1">AB236*Zalozenia!$D647</f>
        <v>3359.8159024309934</v>
      </c>
      <c r="AE236" s="78">
        <f t="shared" si="136"/>
        <v>7633.8363411338787</v>
      </c>
      <c r="AG236" s="12"/>
      <c r="AH236" s="13">
        <f t="shared" si="137"/>
        <v>2025</v>
      </c>
      <c r="AI236" s="78">
        <f t="shared" si="143"/>
        <v>111656.11032916365</v>
      </c>
      <c r="AJ236" s="78">
        <f t="shared" si="144"/>
        <v>3232.1505621600004</v>
      </c>
      <c r="AK236" s="78">
        <f ca="1">AI236*Zalozenia!$C647</f>
        <v>5580.3013866158371</v>
      </c>
      <c r="AL236" s="78">
        <f ca="1">AJ236*Zalozenia!$D647</f>
        <v>4386.6859337714468</v>
      </c>
      <c r="AM236" s="78">
        <f t="shared" si="138"/>
        <v>9966.9873203872849</v>
      </c>
      <c r="AO236" s="12"/>
      <c r="AP236" s="13">
        <f t="shared" si="139"/>
        <v>2025</v>
      </c>
      <c r="AQ236" s="78">
        <f t="shared" si="140"/>
        <v>0</v>
      </c>
      <c r="AR236" s="78">
        <f t="shared" si="141"/>
        <v>0</v>
      </c>
      <c r="AS236" s="78">
        <f ca="1">AQ236*Zalozenia!$C647</f>
        <v>0</v>
      </c>
      <c r="AT236" s="78">
        <f ca="1">AR236*Zalozenia!$D647</f>
        <v>0</v>
      </c>
      <c r="AU236" s="78">
        <f t="shared" si="142"/>
        <v>0</v>
      </c>
      <c r="AW236" s="23">
        <f t="shared" si="145"/>
        <v>4354.654679344605</v>
      </c>
      <c r="AX236" s="23">
        <f t="shared" si="146"/>
        <v>12957.762376080558</v>
      </c>
      <c r="AY236" s="23">
        <f t="shared" si="147"/>
        <v>7748.082851456209</v>
      </c>
      <c r="AZ236" s="23">
        <f t="shared" si="148"/>
        <v>7633.8363411338787</v>
      </c>
      <c r="BA236" s="23">
        <f t="shared" si="149"/>
        <v>9966.9873203872849</v>
      </c>
      <c r="BB236" s="23">
        <f t="shared" si="150"/>
        <v>0</v>
      </c>
    </row>
    <row r="237" spans="1:54" s="4" customFormat="1" ht="10.5">
      <c r="A237" s="12"/>
      <c r="B237" s="13">
        <f t="shared" si="123"/>
        <v>2026</v>
      </c>
      <c r="C237" s="78">
        <f t="shared" si="124"/>
        <v>49140.997258647272</v>
      </c>
      <c r="D237" s="78">
        <f t="shared" si="124"/>
        <v>1422.5025522240001</v>
      </c>
      <c r="E237" s="78">
        <f ca="1">C237*Zalozenia!$C648</f>
        <v>2556.6416283120338</v>
      </c>
      <c r="F237" s="78">
        <f ca="1">D237*Zalozenia!$D648</f>
        <v>2009.7810300193041</v>
      </c>
      <c r="G237" s="78">
        <f t="shared" si="125"/>
        <v>4566.4226583313375</v>
      </c>
      <c r="I237" s="12"/>
      <c r="J237" s="13">
        <f t="shared" si="126"/>
        <v>2026</v>
      </c>
      <c r="K237" s="78">
        <f t="shared" si="127"/>
        <v>146040.30931549094</v>
      </c>
      <c r="L237" s="78">
        <f t="shared" si="127"/>
        <v>4227.4826380799996</v>
      </c>
      <c r="M237" s="78">
        <f ca="1">K237*Zalozenia!$C648</f>
        <v>7597.9885439107165</v>
      </c>
      <c r="N237" s="78">
        <f ca="1">L237*Zalozenia!$D648</f>
        <v>5972.7937903982338</v>
      </c>
      <c r="O237" s="78">
        <f t="shared" si="128"/>
        <v>13570.782334308951</v>
      </c>
      <c r="Q237" s="12"/>
      <c r="R237" s="13">
        <f t="shared" si="129"/>
        <v>2026</v>
      </c>
      <c r="S237" s="78">
        <f t="shared" si="130"/>
        <v>87261.455623680027</v>
      </c>
      <c r="T237" s="78">
        <f t="shared" si="131"/>
        <v>2525.9895048960002</v>
      </c>
      <c r="U237" s="78">
        <f ca="1">S237*Zalozenia!$C648</f>
        <v>4539.9215001756129</v>
      </c>
      <c r="V237" s="78">
        <f ca="1">T237*Zalozenia!$D648</f>
        <v>3568.8412516594308</v>
      </c>
      <c r="W237" s="78">
        <f t="shared" si="132"/>
        <v>8108.7627518350437</v>
      </c>
      <c r="Y237" s="12"/>
      <c r="Z237" s="13">
        <f t="shared" si="133"/>
        <v>2026</v>
      </c>
      <c r="AA237" s="78">
        <f t="shared" si="134"/>
        <v>86041.770701498201</v>
      </c>
      <c r="AB237" s="78">
        <f t="shared" si="135"/>
        <v>2490.6828360960003</v>
      </c>
      <c r="AC237" s="78">
        <f ca="1">AA237*Zalozenia!$C648</f>
        <v>4476.4653755662193</v>
      </c>
      <c r="AD237" s="78">
        <f ca="1">AB237*Zalozenia!$D648</f>
        <v>3518.9582668616363</v>
      </c>
      <c r="AE237" s="78">
        <f t="shared" si="136"/>
        <v>7995.4236424278552</v>
      </c>
      <c r="AG237" s="12"/>
      <c r="AH237" s="13">
        <f t="shared" si="137"/>
        <v>2026</v>
      </c>
      <c r="AI237" s="78">
        <f t="shared" si="143"/>
        <v>112254.50471210184</v>
      </c>
      <c r="AJ237" s="78">
        <f t="shared" si="144"/>
        <v>3249.4725048240002</v>
      </c>
      <c r="AK237" s="78">
        <f ca="1">AI237*Zalozenia!$C648</f>
        <v>5840.2262005785187</v>
      </c>
      <c r="AL237" s="78">
        <f ca="1">AJ237*Zalozenia!$D648</f>
        <v>4591.0133430370115</v>
      </c>
      <c r="AM237" s="78">
        <f t="shared" si="138"/>
        <v>10431.239543615531</v>
      </c>
      <c r="AO237" s="12"/>
      <c r="AP237" s="13">
        <f t="shared" si="139"/>
        <v>2026</v>
      </c>
      <c r="AQ237" s="78">
        <f t="shared" si="140"/>
        <v>0</v>
      </c>
      <c r="AR237" s="78">
        <f t="shared" si="141"/>
        <v>0</v>
      </c>
      <c r="AS237" s="78">
        <f ca="1">AQ237*Zalozenia!$C648</f>
        <v>0</v>
      </c>
      <c r="AT237" s="78">
        <f ca="1">AR237*Zalozenia!$D648</f>
        <v>0</v>
      </c>
      <c r="AU237" s="78">
        <f t="shared" si="142"/>
        <v>0</v>
      </c>
      <c r="AW237" s="23">
        <f t="shared" si="145"/>
        <v>4566.4226583313375</v>
      </c>
      <c r="AX237" s="23">
        <f t="shared" si="146"/>
        <v>13570.782334308951</v>
      </c>
      <c r="AY237" s="23">
        <f t="shared" si="147"/>
        <v>8108.7627518350437</v>
      </c>
      <c r="AZ237" s="23">
        <f t="shared" si="148"/>
        <v>7995.4236424278552</v>
      </c>
      <c r="BA237" s="23">
        <f t="shared" si="149"/>
        <v>10431.239543615531</v>
      </c>
      <c r="BB237" s="23">
        <f t="shared" si="150"/>
        <v>0</v>
      </c>
    </row>
    <row r="238" spans="1:54" s="4" customFormat="1" ht="10.5">
      <c r="A238" s="12"/>
      <c r="B238" s="13">
        <f t="shared" si="123"/>
        <v>2027</v>
      </c>
      <c r="C238" s="78">
        <f t="shared" si="124"/>
        <v>49498.567018821821</v>
      </c>
      <c r="D238" s="78">
        <f t="shared" si="124"/>
        <v>1432.8532558079999</v>
      </c>
      <c r="E238" s="78">
        <f ca="1">C238*Zalozenia!$C649</f>
        <v>2680.8298225001472</v>
      </c>
      <c r="F238" s="78">
        <f ca="1">D238*Zalozenia!$D649</f>
        <v>2107.4056145788572</v>
      </c>
      <c r="G238" s="78">
        <f t="shared" si="125"/>
        <v>4788.2354370790044</v>
      </c>
      <c r="I238" s="12"/>
      <c r="J238" s="13">
        <f t="shared" si="126"/>
        <v>2027</v>
      </c>
      <c r="K238" s="78">
        <f t="shared" si="127"/>
        <v>146920.07021498185</v>
      </c>
      <c r="L238" s="78">
        <f t="shared" si="127"/>
        <v>4252.9494009600003</v>
      </c>
      <c r="M238" s="78">
        <f ca="1">K238*Zalozenia!$C649</f>
        <v>7957.1537011641331</v>
      </c>
      <c r="N238" s="78">
        <f ca="1">L238*Zalozenia!$D649</f>
        <v>6255.134229393746</v>
      </c>
      <c r="O238" s="78">
        <f t="shared" si="128"/>
        <v>14212.287930557879</v>
      </c>
      <c r="Q238" s="12"/>
      <c r="R238" s="13">
        <f t="shared" si="129"/>
        <v>2027</v>
      </c>
      <c r="S238" s="78">
        <f t="shared" si="130"/>
        <v>87724.286357760022</v>
      </c>
      <c r="T238" s="78">
        <f t="shared" si="131"/>
        <v>2539.3872366720002</v>
      </c>
      <c r="U238" s="78">
        <f ca="1">S238*Zalozenia!$C649</f>
        <v>4751.1250767320407</v>
      </c>
      <c r="V238" s="78">
        <f ca="1">T238*Zalozenia!$D649</f>
        <v>3734.8688000396032</v>
      </c>
      <c r="W238" s="78">
        <f t="shared" si="132"/>
        <v>8485.9938767716449</v>
      </c>
      <c r="Y238" s="12"/>
      <c r="Z238" s="13">
        <f t="shared" si="133"/>
        <v>2027</v>
      </c>
      <c r="AA238" s="78">
        <f t="shared" si="134"/>
        <v>86564.773761250923</v>
      </c>
      <c r="AB238" s="78">
        <f t="shared" si="135"/>
        <v>2505.8223983520002</v>
      </c>
      <c r="AC238" s="78">
        <f ca="1">AA238*Zalozenia!$C649</f>
        <v>4688.3261688948869</v>
      </c>
      <c r="AD238" s="78">
        <f ca="1">AB238*Zalozenia!$D649</f>
        <v>3685.5024546436039</v>
      </c>
      <c r="AE238" s="78">
        <f t="shared" si="136"/>
        <v>8373.8286235384912</v>
      </c>
      <c r="AG238" s="12"/>
      <c r="AH238" s="13">
        <f t="shared" si="137"/>
        <v>2027</v>
      </c>
      <c r="AI238" s="78">
        <f t="shared" si="143"/>
        <v>112852.89909504002</v>
      </c>
      <c r="AJ238" s="78">
        <f t="shared" si="144"/>
        <v>3266.7944474880001</v>
      </c>
      <c r="AK238" s="78">
        <f ca="1">AI238*Zalozenia!$C649</f>
        <v>6112.0843626552378</v>
      </c>
      <c r="AL238" s="78">
        <f ca="1">AJ238*Zalozenia!$D649</f>
        <v>4804.7215808076826</v>
      </c>
      <c r="AM238" s="78">
        <f t="shared" si="138"/>
        <v>10916.805943462921</v>
      </c>
      <c r="AO238" s="12"/>
      <c r="AP238" s="13">
        <f t="shared" si="139"/>
        <v>2027</v>
      </c>
      <c r="AQ238" s="78">
        <f t="shared" si="140"/>
        <v>0</v>
      </c>
      <c r="AR238" s="78">
        <f t="shared" si="141"/>
        <v>0</v>
      </c>
      <c r="AS238" s="78">
        <f ca="1">AQ238*Zalozenia!$C649</f>
        <v>0</v>
      </c>
      <c r="AT238" s="78">
        <f ca="1">AR238*Zalozenia!$D649</f>
        <v>0</v>
      </c>
      <c r="AU238" s="78">
        <f t="shared" si="142"/>
        <v>0</v>
      </c>
      <c r="AW238" s="23">
        <f t="shared" si="145"/>
        <v>4788.2354370790044</v>
      </c>
      <c r="AX238" s="23">
        <f t="shared" si="146"/>
        <v>14212.287930557879</v>
      </c>
      <c r="AY238" s="23">
        <f t="shared" si="147"/>
        <v>8485.9938767716449</v>
      </c>
      <c r="AZ238" s="23">
        <f t="shared" si="148"/>
        <v>8373.8286235384912</v>
      </c>
      <c r="BA238" s="23">
        <f t="shared" si="149"/>
        <v>10916.805943462921</v>
      </c>
      <c r="BB238" s="23">
        <f t="shared" si="150"/>
        <v>0</v>
      </c>
    </row>
    <row r="239" spans="1:54" s="4" customFormat="1" ht="10.5">
      <c r="A239" s="12"/>
      <c r="B239" s="13">
        <f t="shared" si="123"/>
        <v>2028</v>
      </c>
      <c r="C239" s="78">
        <f t="shared" si="124"/>
        <v>49856.136778996362</v>
      </c>
      <c r="D239" s="78">
        <f t="shared" si="124"/>
        <v>1443.2039593919999</v>
      </c>
      <c r="E239" s="78">
        <f ca="1">C239*Zalozenia!$C650</f>
        <v>2810.9037340344926</v>
      </c>
      <c r="F239" s="78">
        <f ca="1">D239*Zalozenia!$D650</f>
        <v>2209.656973160832</v>
      </c>
      <c r="G239" s="78">
        <f t="shared" si="125"/>
        <v>5020.5607071953245</v>
      </c>
      <c r="I239" s="12"/>
      <c r="J239" s="13">
        <f t="shared" si="126"/>
        <v>2028</v>
      </c>
      <c r="K239" s="78">
        <f t="shared" si="127"/>
        <v>147799.83111447273</v>
      </c>
      <c r="L239" s="78">
        <f t="shared" si="127"/>
        <v>4278.4161638399992</v>
      </c>
      <c r="M239" s="78">
        <f ca="1">K239*Zalozenia!$C650</f>
        <v>8332.9981825700161</v>
      </c>
      <c r="N239" s="78">
        <f ca="1">L239*Zalozenia!$D650</f>
        <v>6550.5863180252281</v>
      </c>
      <c r="O239" s="78">
        <f t="shared" si="128"/>
        <v>14883.584500595243</v>
      </c>
      <c r="Q239" s="12"/>
      <c r="R239" s="13">
        <f t="shared" si="129"/>
        <v>2028</v>
      </c>
      <c r="S239" s="78">
        <f t="shared" si="130"/>
        <v>88187.117091840002</v>
      </c>
      <c r="T239" s="78">
        <f t="shared" si="131"/>
        <v>2552.7849684479997</v>
      </c>
      <c r="U239" s="78">
        <f ca="1">S239*Zalozenia!$C650</f>
        <v>4972.0157385243001</v>
      </c>
      <c r="V239" s="78">
        <f ca="1">T239*Zalozenia!$D650</f>
        <v>3908.5113852429095</v>
      </c>
      <c r="W239" s="78">
        <f t="shared" si="132"/>
        <v>8880.5271237672096</v>
      </c>
      <c r="Y239" s="12"/>
      <c r="Z239" s="13">
        <f t="shared" si="133"/>
        <v>2028</v>
      </c>
      <c r="AA239" s="78">
        <f t="shared" si="134"/>
        <v>87087.776821003645</v>
      </c>
      <c r="AB239" s="78">
        <f t="shared" si="135"/>
        <v>2520.961960608</v>
      </c>
      <c r="AC239" s="78">
        <f ca="1">AA239*Zalozenia!$C650</f>
        <v>4910.0346089801787</v>
      </c>
      <c r="AD239" s="78">
        <f ca="1">AB239*Zalozenia!$D650</f>
        <v>3859.7878969770991</v>
      </c>
      <c r="AE239" s="78">
        <f t="shared" si="136"/>
        <v>8769.8225059572778</v>
      </c>
      <c r="AG239" s="12"/>
      <c r="AH239" s="13">
        <f t="shared" si="137"/>
        <v>2028</v>
      </c>
      <c r="AI239" s="78">
        <f t="shared" si="143"/>
        <v>113451.29347797819</v>
      </c>
      <c r="AJ239" s="78">
        <f t="shared" si="144"/>
        <v>3284.1163901519999</v>
      </c>
      <c r="AK239" s="78">
        <f ca="1">AI239*Zalozenia!$C650</f>
        <v>6396.4174737790763</v>
      </c>
      <c r="AL239" s="78">
        <f ca="1">AJ239*Zalozenia!$D650</f>
        <v>5028.2364006459038</v>
      </c>
      <c r="AM239" s="78">
        <f t="shared" si="138"/>
        <v>11424.653874424981</v>
      </c>
      <c r="AO239" s="12"/>
      <c r="AP239" s="13">
        <f t="shared" si="139"/>
        <v>2028</v>
      </c>
      <c r="AQ239" s="78">
        <f t="shared" si="140"/>
        <v>0</v>
      </c>
      <c r="AR239" s="78">
        <f t="shared" si="141"/>
        <v>0</v>
      </c>
      <c r="AS239" s="78">
        <f ca="1">AQ239*Zalozenia!$C650</f>
        <v>0</v>
      </c>
      <c r="AT239" s="78">
        <f ca="1">AR239*Zalozenia!$D650</f>
        <v>0</v>
      </c>
      <c r="AU239" s="78">
        <f t="shared" si="142"/>
        <v>0</v>
      </c>
      <c r="AW239" s="23">
        <f t="shared" si="145"/>
        <v>5020.5607071953245</v>
      </c>
      <c r="AX239" s="23">
        <f t="shared" si="146"/>
        <v>14883.584500595243</v>
      </c>
      <c r="AY239" s="23">
        <f t="shared" si="147"/>
        <v>8880.5271237672096</v>
      </c>
      <c r="AZ239" s="23">
        <f t="shared" si="148"/>
        <v>8769.8225059572778</v>
      </c>
      <c r="BA239" s="23">
        <f t="shared" si="149"/>
        <v>11424.653874424981</v>
      </c>
      <c r="BB239" s="23">
        <f t="shared" si="150"/>
        <v>0</v>
      </c>
    </row>
    <row r="240" spans="1:54" s="4" customFormat="1" ht="10.5">
      <c r="A240" s="12"/>
      <c r="B240" s="13">
        <f t="shared" si="123"/>
        <v>2029</v>
      </c>
      <c r="C240" s="78">
        <f t="shared" si="124"/>
        <v>50213.706539170904</v>
      </c>
      <c r="D240" s="78">
        <f t="shared" si="124"/>
        <v>1453.5546629759999</v>
      </c>
      <c r="E240" s="78">
        <f ca="1">C240*Zalozenia!$C651</f>
        <v>2947.137231383032</v>
      </c>
      <c r="F240" s="78">
        <f ca="1">D240*Zalozenia!$D651</f>
        <v>2316.7503943084216</v>
      </c>
      <c r="G240" s="78">
        <f t="shared" si="125"/>
        <v>5263.8876256914536</v>
      </c>
      <c r="I240" s="12"/>
      <c r="J240" s="13">
        <f t="shared" si="126"/>
        <v>2029</v>
      </c>
      <c r="K240" s="78">
        <f t="shared" si="127"/>
        <v>148679.59201396367</v>
      </c>
      <c r="L240" s="78">
        <f t="shared" si="127"/>
        <v>4303.8829267200008</v>
      </c>
      <c r="M240" s="78">
        <f ca="1">K240*Zalozenia!$C651</f>
        <v>8726.2859360795264</v>
      </c>
      <c r="N240" s="78">
        <f ca="1">L240*Zalozenia!$D651</f>
        <v>6859.7505972848849</v>
      </c>
      <c r="O240" s="78">
        <f t="shared" si="128"/>
        <v>15586.036533364411</v>
      </c>
      <c r="Q240" s="12"/>
      <c r="R240" s="13">
        <f t="shared" si="129"/>
        <v>2029</v>
      </c>
      <c r="S240" s="78">
        <f t="shared" si="130"/>
        <v>88649.947825920011</v>
      </c>
      <c r="T240" s="78">
        <f t="shared" si="131"/>
        <v>2566.1827002239997</v>
      </c>
      <c r="U240" s="78">
        <f ca="1">S240*Zalozenia!$C651</f>
        <v>5203.0327933295393</v>
      </c>
      <c r="V240" s="78">
        <f ca="1">T240*Zalozenia!$D651</f>
        <v>4090.1143479800212</v>
      </c>
      <c r="W240" s="78">
        <f t="shared" si="132"/>
        <v>9293.1471413095605</v>
      </c>
      <c r="Y240" s="12"/>
      <c r="Z240" s="13">
        <f t="shared" si="133"/>
        <v>2029</v>
      </c>
      <c r="AA240" s="78">
        <f t="shared" si="134"/>
        <v>87610.779880756381</v>
      </c>
      <c r="AB240" s="78">
        <f t="shared" si="135"/>
        <v>2536.1015228640003</v>
      </c>
      <c r="AC240" s="78">
        <f ca="1">AA240*Zalozenia!$C651</f>
        <v>5142.0420648625523</v>
      </c>
      <c r="AD240" s="78">
        <f ca="1">AB240*Zalozenia!$D651</f>
        <v>4042.169415955686</v>
      </c>
      <c r="AE240" s="78">
        <f t="shared" si="136"/>
        <v>9184.2114808182378</v>
      </c>
      <c r="AG240" s="12"/>
      <c r="AH240" s="13">
        <f t="shared" si="137"/>
        <v>2029</v>
      </c>
      <c r="AI240" s="78">
        <f t="shared" si="143"/>
        <v>114049.68786091637</v>
      </c>
      <c r="AJ240" s="78">
        <f t="shared" si="144"/>
        <v>3301.4383328160002</v>
      </c>
      <c r="AK240" s="78">
        <f ca="1">AI240*Zalozenia!$C651</f>
        <v>6693.7914862014459</v>
      </c>
      <c r="AL240" s="78">
        <f ca="1">AJ240*Zalozenia!$D651</f>
        <v>5262.0026987335223</v>
      </c>
      <c r="AM240" s="78">
        <f t="shared" si="138"/>
        <v>11955.794184934968</v>
      </c>
      <c r="AO240" s="12"/>
      <c r="AP240" s="13">
        <f t="shared" si="139"/>
        <v>2029</v>
      </c>
      <c r="AQ240" s="78">
        <f t="shared" si="140"/>
        <v>0</v>
      </c>
      <c r="AR240" s="78">
        <f t="shared" si="141"/>
        <v>0</v>
      </c>
      <c r="AS240" s="78">
        <f ca="1">AQ240*Zalozenia!$C651</f>
        <v>0</v>
      </c>
      <c r="AT240" s="78">
        <f ca="1">AR240*Zalozenia!$D651</f>
        <v>0</v>
      </c>
      <c r="AU240" s="78">
        <f t="shared" si="142"/>
        <v>0</v>
      </c>
      <c r="AW240" s="23">
        <f t="shared" si="145"/>
        <v>5263.8876256914536</v>
      </c>
      <c r="AX240" s="23">
        <f t="shared" si="146"/>
        <v>15586.036533364411</v>
      </c>
      <c r="AY240" s="23">
        <f t="shared" si="147"/>
        <v>9293.1471413095605</v>
      </c>
      <c r="AZ240" s="23">
        <f t="shared" si="148"/>
        <v>9184.2114808182378</v>
      </c>
      <c r="BA240" s="23">
        <f t="shared" si="149"/>
        <v>11955.794184934968</v>
      </c>
      <c r="BB240" s="23">
        <f t="shared" si="150"/>
        <v>0</v>
      </c>
    </row>
    <row r="241" spans="1:54" s="4" customFormat="1" ht="10.5">
      <c r="A241" s="12"/>
      <c r="B241" s="13">
        <f t="shared" si="123"/>
        <v>2030</v>
      </c>
      <c r="C241" s="78">
        <f t="shared" si="124"/>
        <v>50571.276299345453</v>
      </c>
      <c r="D241" s="78">
        <f t="shared" si="124"/>
        <v>1463.9053665599997</v>
      </c>
      <c r="E241" s="78">
        <f ca="1">C241*Zalozenia!$C652</f>
        <v>3089.8167463372397</v>
      </c>
      <c r="F241" s="78">
        <f ca="1">D241*Zalozenia!$D652</f>
        <v>2428.9110426182297</v>
      </c>
      <c r="G241" s="78">
        <f t="shared" si="125"/>
        <v>5518.7277889554698</v>
      </c>
      <c r="I241" s="12"/>
      <c r="J241" s="13">
        <f t="shared" si="126"/>
        <v>2030</v>
      </c>
      <c r="K241" s="78">
        <f t="shared" si="127"/>
        <v>149559.35291345455</v>
      </c>
      <c r="L241" s="78">
        <f t="shared" si="127"/>
        <v>4329.3496895999997</v>
      </c>
      <c r="M241" s="78">
        <f ca="1">K241*Zalozenia!$C652</f>
        <v>9137.8155154319138</v>
      </c>
      <c r="N241" s="78">
        <f ca="1">L241*Zalozenia!$D652</f>
        <v>7183.2548118432287</v>
      </c>
      <c r="O241" s="78">
        <f t="shared" si="128"/>
        <v>16321.070327275142</v>
      </c>
      <c r="Q241" s="12"/>
      <c r="R241" s="13">
        <f t="shared" si="129"/>
        <v>2030</v>
      </c>
      <c r="S241" s="78">
        <f t="shared" si="130"/>
        <v>89112.778560000021</v>
      </c>
      <c r="T241" s="78">
        <f t="shared" si="131"/>
        <v>2579.5804320000002</v>
      </c>
      <c r="U241" s="78">
        <f ca="1">S241*Zalozenia!$C652</f>
        <v>5444.6352881723487</v>
      </c>
      <c r="V241" s="78">
        <f ca="1">T241*Zalozenia!$D652</f>
        <v>4280.0385460229836</v>
      </c>
      <c r="W241" s="78">
        <f t="shared" si="132"/>
        <v>9724.6738341953314</v>
      </c>
      <c r="Y241" s="12"/>
      <c r="Z241" s="13">
        <f t="shared" si="133"/>
        <v>2030</v>
      </c>
      <c r="AA241" s="78">
        <f t="shared" si="134"/>
        <v>88133.782940509103</v>
      </c>
      <c r="AB241" s="78">
        <f t="shared" si="135"/>
        <v>2551.2410851199998</v>
      </c>
      <c r="AC241" s="78">
        <f ca="1">AA241*Zalozenia!$C652</f>
        <v>5384.8203639495841</v>
      </c>
      <c r="AD241" s="78">
        <f ca="1">AB241*Zalozenia!$D652</f>
        <v>4233.0179160356965</v>
      </c>
      <c r="AE241" s="78">
        <f t="shared" si="136"/>
        <v>9617.8382799852807</v>
      </c>
      <c r="AG241" s="12"/>
      <c r="AH241" s="13">
        <f t="shared" si="137"/>
        <v>2030</v>
      </c>
      <c r="AI241" s="78">
        <f t="shared" si="143"/>
        <v>114648.08224385456</v>
      </c>
      <c r="AJ241" s="78">
        <f t="shared" si="144"/>
        <v>3318.7602754800005</v>
      </c>
      <c r="AK241" s="78">
        <f ca="1">AI241*Zalozenia!$C652</f>
        <v>7004.7977898690269</v>
      </c>
      <c r="AL241" s="78">
        <f ca="1">AJ241*Zalozenia!$D652</f>
        <v>5506.4853678748386</v>
      </c>
      <c r="AM241" s="78">
        <f t="shared" si="138"/>
        <v>12511.283157743866</v>
      </c>
      <c r="AO241" s="12"/>
      <c r="AP241" s="13">
        <f t="shared" si="139"/>
        <v>2030</v>
      </c>
      <c r="AQ241" s="78">
        <f t="shared" si="140"/>
        <v>0</v>
      </c>
      <c r="AR241" s="78">
        <f t="shared" si="141"/>
        <v>0</v>
      </c>
      <c r="AS241" s="78">
        <f ca="1">AQ241*Zalozenia!$C652</f>
        <v>0</v>
      </c>
      <c r="AT241" s="78">
        <f ca="1">AR241*Zalozenia!$D652</f>
        <v>0</v>
      </c>
      <c r="AU241" s="78">
        <f t="shared" si="142"/>
        <v>0</v>
      </c>
      <c r="AW241" s="23">
        <f t="shared" si="145"/>
        <v>5518.7277889554698</v>
      </c>
      <c r="AX241" s="23">
        <f t="shared" si="146"/>
        <v>16321.070327275142</v>
      </c>
      <c r="AY241" s="23">
        <f t="shared" si="147"/>
        <v>9724.6738341953314</v>
      </c>
      <c r="AZ241" s="23">
        <f t="shared" si="148"/>
        <v>9617.8382799852807</v>
      </c>
      <c r="BA241" s="23">
        <f t="shared" si="149"/>
        <v>12511.283157743866</v>
      </c>
      <c r="BB241" s="23">
        <f t="shared" si="150"/>
        <v>0</v>
      </c>
    </row>
    <row r="242" spans="1:54" s="4" customFormat="1" ht="10.5">
      <c r="A242" s="12"/>
      <c r="B242" s="13">
        <f t="shared" si="123"/>
        <v>2031</v>
      </c>
      <c r="C242" s="78">
        <f t="shared" ref="C242:D255" si="151">C168</f>
        <v>50928.846059520001</v>
      </c>
      <c r="D242" s="78">
        <f t="shared" si="151"/>
        <v>1474.256070144</v>
      </c>
      <c r="E242" s="78">
        <f ca="1">C242*Zalozenia!$C653</f>
        <v>3239.2418438317377</v>
      </c>
      <c r="F242" s="78">
        <f ca="1">D242*Zalozenia!$D653</f>
        <v>2546.3744066766103</v>
      </c>
      <c r="G242" s="78">
        <f t="shared" si="125"/>
        <v>5785.6162505083485</v>
      </c>
      <c r="I242" s="12"/>
      <c r="J242" s="13">
        <f t="shared" si="126"/>
        <v>2031</v>
      </c>
      <c r="K242" s="78">
        <f t="shared" si="127"/>
        <v>150439.11381294546</v>
      </c>
      <c r="L242" s="78">
        <f t="shared" si="127"/>
        <v>4354.8164524799995</v>
      </c>
      <c r="M242" s="78">
        <f ca="1">K242*Zalozenia!$C653</f>
        <v>9568.4216336326499</v>
      </c>
      <c r="N242" s="78">
        <f ca="1">L242*Zalozenia!$D653</f>
        <v>7521.7551312413234</v>
      </c>
      <c r="O242" s="78">
        <f t="shared" si="128"/>
        <v>17090.176764873973</v>
      </c>
      <c r="Q242" s="12"/>
      <c r="R242" s="13">
        <f t="shared" si="129"/>
        <v>2031</v>
      </c>
      <c r="S242" s="78">
        <f t="shared" si="130"/>
        <v>89575.609294080001</v>
      </c>
      <c r="T242" s="78">
        <f t="shared" si="131"/>
        <v>2592.9781637759997</v>
      </c>
      <c r="U242" s="78">
        <f ca="1">S242*Zalozenia!$C653</f>
        <v>5697.3028894666804</v>
      </c>
      <c r="V242" s="78">
        <f ca="1">T242*Zalozenia!$D653</f>
        <v>4478.6610460865122</v>
      </c>
      <c r="W242" s="78">
        <f t="shared" si="132"/>
        <v>10175.963935553193</v>
      </c>
      <c r="Y242" s="12"/>
      <c r="Z242" s="13">
        <f t="shared" si="133"/>
        <v>2031</v>
      </c>
      <c r="AA242" s="78">
        <f t="shared" si="134"/>
        <v>88656.78600026184</v>
      </c>
      <c r="AB242" s="78">
        <f t="shared" si="135"/>
        <v>2566.3806473760001</v>
      </c>
      <c r="AC242" s="78">
        <f ca="1">AA242*Zalozenia!$C653</f>
        <v>5638.8627108507198</v>
      </c>
      <c r="AD242" s="78">
        <f ca="1">AB242*Zalozenia!$D653</f>
        <v>4432.7211063340483</v>
      </c>
      <c r="AE242" s="78">
        <f t="shared" si="136"/>
        <v>10071.583817184768</v>
      </c>
      <c r="AG242" s="12"/>
      <c r="AH242" s="13">
        <f t="shared" si="137"/>
        <v>2031</v>
      </c>
      <c r="AI242" s="78">
        <f t="shared" si="143"/>
        <v>115246.47662679275</v>
      </c>
      <c r="AJ242" s="78">
        <f t="shared" si="144"/>
        <v>3336.0822181439999</v>
      </c>
      <c r="AK242" s="78">
        <f ca="1">AI242*Zalozenia!$C653</f>
        <v>7330.0543469490467</v>
      </c>
      <c r="AL242" s="78">
        <f ca="1">AJ242*Zalozenia!$D653</f>
        <v>5762.1701893491718</v>
      </c>
      <c r="AM242" s="78">
        <f t="shared" si="138"/>
        <v>13092.224536298218</v>
      </c>
      <c r="AO242" s="12"/>
      <c r="AP242" s="13">
        <f t="shared" si="139"/>
        <v>2031</v>
      </c>
      <c r="AQ242" s="78">
        <f t="shared" si="140"/>
        <v>0</v>
      </c>
      <c r="AR242" s="78">
        <f t="shared" si="141"/>
        <v>0</v>
      </c>
      <c r="AS242" s="78">
        <f ca="1">AQ242*Zalozenia!$C653</f>
        <v>0</v>
      </c>
      <c r="AT242" s="78">
        <f ca="1">AR242*Zalozenia!$D653</f>
        <v>0</v>
      </c>
      <c r="AU242" s="78">
        <f t="shared" si="142"/>
        <v>0</v>
      </c>
      <c r="AW242" s="23">
        <f t="shared" si="145"/>
        <v>5785.6162505083485</v>
      </c>
      <c r="AX242" s="23">
        <f t="shared" si="146"/>
        <v>17090.176764873973</v>
      </c>
      <c r="AY242" s="23">
        <f t="shared" si="147"/>
        <v>10175.963935553193</v>
      </c>
      <c r="AZ242" s="23">
        <f t="shared" si="148"/>
        <v>10071.583817184768</v>
      </c>
      <c r="BA242" s="23">
        <f t="shared" si="149"/>
        <v>13092.224536298218</v>
      </c>
      <c r="BB242" s="23">
        <f t="shared" si="150"/>
        <v>0</v>
      </c>
    </row>
    <row r="243" spans="1:54" s="4" customFormat="1" ht="10.5">
      <c r="A243" s="12"/>
      <c r="B243" s="13">
        <f t="shared" si="123"/>
        <v>2032</v>
      </c>
      <c r="C243" s="78">
        <f t="shared" si="151"/>
        <v>51286.41581969455</v>
      </c>
      <c r="D243" s="78">
        <f t="shared" si="151"/>
        <v>1484.606773728</v>
      </c>
      <c r="E243" s="78">
        <f ca="1">C243*Zalozenia!$C654</f>
        <v>3395.7258173701921</v>
      </c>
      <c r="F243" s="78">
        <f ca="1">D243*Zalozenia!$D654</f>
        <v>2669.3867671251369</v>
      </c>
      <c r="G243" s="78">
        <f t="shared" si="125"/>
        <v>6065.1125844953294</v>
      </c>
      <c r="I243" s="12"/>
      <c r="J243" s="13">
        <f t="shared" si="126"/>
        <v>2032</v>
      </c>
      <c r="K243" s="78">
        <f t="shared" si="127"/>
        <v>151318.87471243637</v>
      </c>
      <c r="L243" s="78">
        <f t="shared" si="127"/>
        <v>4380.2832153600002</v>
      </c>
      <c r="M243" s="78">
        <f ca="1">K243*Zalozenia!$C654</f>
        <v>10018.976785644405</v>
      </c>
      <c r="N243" s="78">
        <f ca="1">L243*Zalozenia!$D654</f>
        <v>7875.9374254913546</v>
      </c>
      <c r="O243" s="78">
        <f t="shared" si="128"/>
        <v>17894.914211135758</v>
      </c>
      <c r="Q243" s="12"/>
      <c r="R243" s="13">
        <f t="shared" si="129"/>
        <v>2032</v>
      </c>
      <c r="S243" s="78">
        <f t="shared" si="130"/>
        <v>90038.44002816001</v>
      </c>
      <c r="T243" s="78">
        <f t="shared" si="131"/>
        <v>2606.3758955519997</v>
      </c>
      <c r="U243" s="78">
        <f ca="1">S243*Zalozenia!$C654</f>
        <v>5961.5368021477307</v>
      </c>
      <c r="V243" s="78">
        <f ca="1">T243*Zalozenia!$D654</f>
        <v>4686.3758463593877</v>
      </c>
      <c r="W243" s="78">
        <f t="shared" si="132"/>
        <v>10647.912648507117</v>
      </c>
      <c r="Y243" s="12"/>
      <c r="Z243" s="13">
        <f t="shared" si="133"/>
        <v>2032</v>
      </c>
      <c r="AA243" s="78">
        <f t="shared" si="134"/>
        <v>89179.789060014562</v>
      </c>
      <c r="AB243" s="78">
        <f t="shared" si="135"/>
        <v>2581.5202096320004</v>
      </c>
      <c r="AC243" s="78">
        <f ca="1">AA243*Zalozenia!$C654</f>
        <v>5904.6846471659483</v>
      </c>
      <c r="AD243" s="78">
        <f ca="1">AB243*Zalozenia!$D654</f>
        <v>4641.6842551200089</v>
      </c>
      <c r="AE243" s="78">
        <f t="shared" si="136"/>
        <v>10546.368902285958</v>
      </c>
      <c r="AG243" s="12"/>
      <c r="AH243" s="13">
        <f t="shared" si="137"/>
        <v>2032</v>
      </c>
      <c r="AI243" s="78">
        <f t="shared" si="143"/>
        <v>115844.87100973092</v>
      </c>
      <c r="AJ243" s="78">
        <f t="shared" si="144"/>
        <v>3353.4041608080001</v>
      </c>
      <c r="AK243" s="78">
        <f ca="1">AI243*Zalozenia!$C654</f>
        <v>7670.2068766248567</v>
      </c>
      <c r="AL243" s="78">
        <f ca="1">AJ243*Zalozenia!$D654</f>
        <v>6029.5647642810036</v>
      </c>
      <c r="AM243" s="78">
        <f t="shared" si="138"/>
        <v>13699.771640905859</v>
      </c>
      <c r="AO243" s="12"/>
      <c r="AP243" s="13">
        <f t="shared" si="139"/>
        <v>2032</v>
      </c>
      <c r="AQ243" s="78">
        <f t="shared" si="140"/>
        <v>0</v>
      </c>
      <c r="AR243" s="78">
        <f t="shared" si="141"/>
        <v>0</v>
      </c>
      <c r="AS243" s="78">
        <f ca="1">AQ243*Zalozenia!$C654</f>
        <v>0</v>
      </c>
      <c r="AT243" s="78">
        <f ca="1">AR243*Zalozenia!$D654</f>
        <v>0</v>
      </c>
      <c r="AU243" s="78">
        <f t="shared" si="142"/>
        <v>0</v>
      </c>
      <c r="AW243" s="23">
        <f t="shared" si="145"/>
        <v>6065.1125844953294</v>
      </c>
      <c r="AX243" s="23">
        <f t="shared" si="146"/>
        <v>17894.914211135758</v>
      </c>
      <c r="AY243" s="23">
        <f t="shared" si="147"/>
        <v>10647.912648507117</v>
      </c>
      <c r="AZ243" s="23">
        <f t="shared" si="148"/>
        <v>10546.368902285958</v>
      </c>
      <c r="BA243" s="23">
        <f t="shared" si="149"/>
        <v>13699.771640905859</v>
      </c>
      <c r="BB243" s="23">
        <f t="shared" si="150"/>
        <v>0</v>
      </c>
    </row>
    <row r="244" spans="1:54" s="4" customFormat="1" ht="10.5">
      <c r="A244" s="12"/>
      <c r="B244" s="13">
        <f t="shared" si="123"/>
        <v>2033</v>
      </c>
      <c r="C244" s="78">
        <f t="shared" si="151"/>
        <v>51643.985579869091</v>
      </c>
      <c r="D244" s="78">
        <f t="shared" si="151"/>
        <v>1494.957477312</v>
      </c>
      <c r="E244" s="78">
        <f ca="1">C244*Zalozenia!$C655</f>
        <v>3559.5963111993169</v>
      </c>
      <c r="F244" s="78">
        <f ca="1">D244*Zalozenia!$D655</f>
        <v>2798.2056857528187</v>
      </c>
      <c r="G244" s="78">
        <f t="shared" si="125"/>
        <v>6357.8019969521356</v>
      </c>
      <c r="I244" s="12"/>
      <c r="J244" s="13">
        <f t="shared" si="126"/>
        <v>2033</v>
      </c>
      <c r="K244" s="78">
        <f t="shared" si="127"/>
        <v>152198.63561192728</v>
      </c>
      <c r="L244" s="78">
        <f t="shared" si="127"/>
        <v>4405.74997824</v>
      </c>
      <c r="M244" s="78">
        <f ca="1">K244*Zalozenia!$C655</f>
        <v>10490.392943354986</v>
      </c>
      <c r="N244" s="78">
        <f ca="1">L244*Zalozenia!$D655</f>
        <v>8246.5185974942688</v>
      </c>
      <c r="O244" s="78">
        <f t="shared" si="128"/>
        <v>18736.911540849254</v>
      </c>
      <c r="Q244" s="12"/>
      <c r="R244" s="13">
        <f t="shared" si="129"/>
        <v>2033</v>
      </c>
      <c r="S244" s="78">
        <f t="shared" si="130"/>
        <v>90501.270762240019</v>
      </c>
      <c r="T244" s="78">
        <f t="shared" si="131"/>
        <v>2619.7736273280002</v>
      </c>
      <c r="U244" s="78">
        <f ca="1">S244*Zalozenia!$C655</f>
        <v>6237.8607295114334</v>
      </c>
      <c r="V244" s="78">
        <f ca="1">T244*Zalozenia!$D655</f>
        <v>4903.5946310361678</v>
      </c>
      <c r="W244" s="78">
        <f t="shared" si="132"/>
        <v>11141.455360547601</v>
      </c>
      <c r="Y244" s="12"/>
      <c r="Z244" s="13">
        <f t="shared" si="133"/>
        <v>2033</v>
      </c>
      <c r="AA244" s="78">
        <f t="shared" si="134"/>
        <v>89702.792119767284</v>
      </c>
      <c r="AB244" s="78">
        <f t="shared" si="135"/>
        <v>2596.6597718879998</v>
      </c>
      <c r="AC244" s="78">
        <f ca="1">AA244*Zalozenia!$C655</f>
        <v>6182.825054042085</v>
      </c>
      <c r="AD244" s="78">
        <f ca="1">AB244*Zalozenia!$D655</f>
        <v>4860.3309779266683</v>
      </c>
      <c r="AE244" s="78">
        <f t="shared" si="136"/>
        <v>11043.156031968752</v>
      </c>
      <c r="AG244" s="12"/>
      <c r="AH244" s="13">
        <f t="shared" si="137"/>
        <v>2033</v>
      </c>
      <c r="AI244" s="78">
        <f t="shared" si="143"/>
        <v>116443.26539266911</v>
      </c>
      <c r="AJ244" s="78">
        <f t="shared" si="144"/>
        <v>3370.726103472</v>
      </c>
      <c r="AK244" s="78">
        <f ca="1">AI244*Zalozenia!$C655</f>
        <v>8025.9300923768615</v>
      </c>
      <c r="AL244" s="78">
        <f ca="1">AJ244*Zalozenia!$D655</f>
        <v>6309.1994862689489</v>
      </c>
      <c r="AM244" s="78">
        <f t="shared" si="138"/>
        <v>14335.12957864581</v>
      </c>
      <c r="AO244" s="12"/>
      <c r="AP244" s="13">
        <f t="shared" si="139"/>
        <v>2033</v>
      </c>
      <c r="AQ244" s="78">
        <f t="shared" si="140"/>
        <v>0</v>
      </c>
      <c r="AR244" s="78">
        <f t="shared" si="141"/>
        <v>0</v>
      </c>
      <c r="AS244" s="78">
        <f ca="1">AQ244*Zalozenia!$C655</f>
        <v>0</v>
      </c>
      <c r="AT244" s="78">
        <f ca="1">AR244*Zalozenia!$D655</f>
        <v>0</v>
      </c>
      <c r="AU244" s="78">
        <f t="shared" si="142"/>
        <v>0</v>
      </c>
      <c r="AW244" s="23">
        <f t="shared" si="145"/>
        <v>6357.8019969521356</v>
      </c>
      <c r="AX244" s="23">
        <f t="shared" si="146"/>
        <v>18736.911540849254</v>
      </c>
      <c r="AY244" s="23">
        <f t="shared" si="147"/>
        <v>11141.455360547601</v>
      </c>
      <c r="AZ244" s="23">
        <f t="shared" si="148"/>
        <v>11043.156031968752</v>
      </c>
      <c r="BA244" s="23">
        <f t="shared" si="149"/>
        <v>14335.12957864581</v>
      </c>
      <c r="BB244" s="23">
        <f t="shared" si="150"/>
        <v>0</v>
      </c>
    </row>
    <row r="245" spans="1:54" s="4" customFormat="1" ht="10.5">
      <c r="A245" s="12"/>
      <c r="B245" s="13">
        <f t="shared" si="123"/>
        <v>2034</v>
      </c>
      <c r="C245" s="78">
        <f t="shared" si="151"/>
        <v>52001.555340043633</v>
      </c>
      <c r="D245" s="78">
        <f t="shared" si="151"/>
        <v>1505.3081808959998</v>
      </c>
      <c r="E245" s="78">
        <f ca="1">C245*Zalozenia!$C656</f>
        <v>3731.1959704234314</v>
      </c>
      <c r="F245" s="78">
        <f ca="1">D245*Zalozenia!$D656</f>
        <v>2933.100516552433</v>
      </c>
      <c r="G245" s="78">
        <f t="shared" si="125"/>
        <v>6664.2964869758644</v>
      </c>
      <c r="I245" s="12"/>
      <c r="J245" s="13">
        <f t="shared" si="126"/>
        <v>2034</v>
      </c>
      <c r="K245" s="78">
        <f t="shared" si="127"/>
        <v>153078.39651141816</v>
      </c>
      <c r="L245" s="78">
        <f t="shared" si="127"/>
        <v>4431.2167411199989</v>
      </c>
      <c r="M245" s="78">
        <f ca="1">K245*Zalozenia!$C656</f>
        <v>10983.623326021165</v>
      </c>
      <c r="N245" s="78">
        <f ca="1">L245*Zalozenia!$D656</f>
        <v>8634.2479747891703</v>
      </c>
      <c r="O245" s="78">
        <f t="shared" si="128"/>
        <v>19617.871300810337</v>
      </c>
      <c r="Q245" s="12"/>
      <c r="R245" s="13">
        <f t="shared" si="129"/>
        <v>2034</v>
      </c>
      <c r="S245" s="78">
        <f t="shared" si="130"/>
        <v>90964.10149632</v>
      </c>
      <c r="T245" s="78">
        <f t="shared" si="131"/>
        <v>2633.1713591039997</v>
      </c>
      <c r="U245" s="78">
        <f ca="1">S245*Zalozenia!$C656</f>
        <v>6526.8218755545477</v>
      </c>
      <c r="V245" s="78">
        <f ca="1">T245*Zalozenia!$D656</f>
        <v>5130.7475582587113</v>
      </c>
      <c r="W245" s="78">
        <f t="shared" si="132"/>
        <v>11657.56943381326</v>
      </c>
      <c r="Y245" s="12"/>
      <c r="Z245" s="13">
        <f t="shared" si="133"/>
        <v>2034</v>
      </c>
      <c r="AA245" s="78">
        <f t="shared" si="134"/>
        <v>90225.795179520006</v>
      </c>
      <c r="AB245" s="78">
        <f t="shared" si="135"/>
        <v>2611.7993341440001</v>
      </c>
      <c r="AC245" s="78">
        <f ca="1">AA245*Zalozenia!$C656</f>
        <v>6473.8471993901794</v>
      </c>
      <c r="AD245" s="78">
        <f ca="1">AB245*Zalozenia!$D656</f>
        <v>5089.1040607706191</v>
      </c>
      <c r="AE245" s="78">
        <f t="shared" si="136"/>
        <v>11562.951260160798</v>
      </c>
      <c r="AG245" s="12"/>
      <c r="AH245" s="13">
        <f t="shared" si="137"/>
        <v>2034</v>
      </c>
      <c r="AI245" s="78">
        <f t="shared" si="143"/>
        <v>117041.65977560729</v>
      </c>
      <c r="AJ245" s="78">
        <f t="shared" si="144"/>
        <v>3388.0480461359998</v>
      </c>
      <c r="AK245" s="78">
        <f ca="1">AI245*Zalozenia!$C656</f>
        <v>8397.9289940609251</v>
      </c>
      <c r="AL245" s="78">
        <f ca="1">AJ245*Zalozenia!$D656</f>
        <v>6601.6285570911487</v>
      </c>
      <c r="AM245" s="78">
        <f t="shared" si="138"/>
        <v>14999.557551152073</v>
      </c>
      <c r="AO245" s="12"/>
      <c r="AP245" s="13">
        <f t="shared" si="139"/>
        <v>2034</v>
      </c>
      <c r="AQ245" s="78">
        <f t="shared" si="140"/>
        <v>0</v>
      </c>
      <c r="AR245" s="78">
        <f t="shared" si="141"/>
        <v>0</v>
      </c>
      <c r="AS245" s="78">
        <f ca="1">AQ245*Zalozenia!$C656</f>
        <v>0</v>
      </c>
      <c r="AT245" s="78">
        <f ca="1">AR245*Zalozenia!$D656</f>
        <v>0</v>
      </c>
      <c r="AU245" s="78">
        <f t="shared" si="142"/>
        <v>0</v>
      </c>
      <c r="AW245" s="23">
        <f t="shared" si="145"/>
        <v>6664.2964869758644</v>
      </c>
      <c r="AX245" s="23">
        <f t="shared" si="146"/>
        <v>19617.871300810337</v>
      </c>
      <c r="AY245" s="23">
        <f t="shared" si="147"/>
        <v>11657.56943381326</v>
      </c>
      <c r="AZ245" s="23">
        <f t="shared" si="148"/>
        <v>11562.951260160798</v>
      </c>
      <c r="BA245" s="23">
        <f t="shared" si="149"/>
        <v>14999.557551152073</v>
      </c>
      <c r="BB245" s="23">
        <f t="shared" si="150"/>
        <v>0</v>
      </c>
    </row>
    <row r="246" spans="1:54" s="4" customFormat="1" ht="10.5">
      <c r="A246" s="12"/>
      <c r="B246" s="13">
        <f t="shared" si="123"/>
        <v>2035</v>
      </c>
      <c r="C246" s="78">
        <f t="shared" si="151"/>
        <v>52359.125100218189</v>
      </c>
      <c r="D246" s="78">
        <f t="shared" si="151"/>
        <v>1515.6588844799999</v>
      </c>
      <c r="E246" s="78">
        <f ca="1">C246*Zalozenia!$C657</f>
        <v>3910.883120304798</v>
      </c>
      <c r="F246" s="78">
        <f ca="1">D246*Zalozenia!$D657</f>
        <v>3074.3529397198649</v>
      </c>
      <c r="G246" s="78">
        <f t="shared" si="125"/>
        <v>6985.2360600246629</v>
      </c>
      <c r="I246" s="12"/>
      <c r="J246" s="13">
        <f t="shared" si="126"/>
        <v>2035</v>
      </c>
      <c r="K246" s="78">
        <f t="shared" si="127"/>
        <v>153958.1574109091</v>
      </c>
      <c r="L246" s="78">
        <f t="shared" si="127"/>
        <v>4456.6835039999996</v>
      </c>
      <c r="M246" s="78">
        <f ca="1">K246*Zalozenia!$C657</f>
        <v>11499.664249528196</v>
      </c>
      <c r="N246" s="78">
        <f ca="1">L246*Zalozenia!$D657</f>
        <v>9039.9087632598694</v>
      </c>
      <c r="O246" s="78">
        <f t="shared" si="128"/>
        <v>20539.573012788067</v>
      </c>
      <c r="Q246" s="12"/>
      <c r="R246" s="13">
        <f t="shared" si="129"/>
        <v>2035</v>
      </c>
      <c r="S246" s="78">
        <f t="shared" si="130"/>
        <v>91426.932230400009</v>
      </c>
      <c r="T246" s="78">
        <f t="shared" si="131"/>
        <v>2646.5690908799997</v>
      </c>
      <c r="U246" s="78">
        <f ca="1">S246*Zalozenia!$C657</f>
        <v>6828.9919916868912</v>
      </c>
      <c r="V246" s="78">
        <f ca="1">T246*Zalozenia!$D657</f>
        <v>5368.2840829387324</v>
      </c>
      <c r="W246" s="78">
        <f t="shared" si="132"/>
        <v>12197.276074625624</v>
      </c>
      <c r="Y246" s="12"/>
      <c r="Z246" s="13">
        <f t="shared" si="133"/>
        <v>2035</v>
      </c>
      <c r="AA246" s="78">
        <f t="shared" si="134"/>
        <v>90748.798239272728</v>
      </c>
      <c r="AB246" s="78">
        <f t="shared" si="135"/>
        <v>2626.9388963999995</v>
      </c>
      <c r="AC246" s="78">
        <f ca="1">AA246*Zalozenia!$C657</f>
        <v>6778.3398317409728</v>
      </c>
      <c r="AD246" s="78">
        <f ca="1">AB246*Zalozenia!$D657</f>
        <v>5328.4663200338773</v>
      </c>
      <c r="AE246" s="78">
        <f t="shared" si="136"/>
        <v>12106.80615177485</v>
      </c>
      <c r="AG246" s="12"/>
      <c r="AH246" s="13">
        <f t="shared" si="137"/>
        <v>2035</v>
      </c>
      <c r="AI246" s="78">
        <f t="shared" si="143"/>
        <v>117640.05415854546</v>
      </c>
      <c r="AJ246" s="78">
        <f t="shared" si="144"/>
        <v>3405.3699887999996</v>
      </c>
      <c r="AK246" s="78">
        <f ca="1">AI246*Zalozenia!$C657</f>
        <v>8786.9402171977945</v>
      </c>
      <c r="AL246" s="78">
        <f ca="1">AJ246*Zalozenia!$D657</f>
        <v>6907.4310473843516</v>
      </c>
      <c r="AM246" s="78">
        <f t="shared" si="138"/>
        <v>15694.371264582147</v>
      </c>
      <c r="AO246" s="12"/>
      <c r="AP246" s="13">
        <f t="shared" si="139"/>
        <v>2035</v>
      </c>
      <c r="AQ246" s="78">
        <f t="shared" si="140"/>
        <v>0</v>
      </c>
      <c r="AR246" s="78">
        <f t="shared" si="141"/>
        <v>0</v>
      </c>
      <c r="AS246" s="78">
        <f ca="1">AQ246*Zalozenia!$C657</f>
        <v>0</v>
      </c>
      <c r="AT246" s="78">
        <f ca="1">AR246*Zalozenia!$D657</f>
        <v>0</v>
      </c>
      <c r="AU246" s="78">
        <f t="shared" si="142"/>
        <v>0</v>
      </c>
      <c r="AW246" s="23">
        <f t="shared" si="145"/>
        <v>6985.2360600246629</v>
      </c>
      <c r="AX246" s="23">
        <f t="shared" si="146"/>
        <v>20539.573012788067</v>
      </c>
      <c r="AY246" s="23">
        <f t="shared" si="147"/>
        <v>12197.276074625624</v>
      </c>
      <c r="AZ246" s="23">
        <f t="shared" si="148"/>
        <v>12106.80615177485</v>
      </c>
      <c r="BA246" s="23">
        <f t="shared" si="149"/>
        <v>15694.371264582147</v>
      </c>
      <c r="BB246" s="23">
        <f t="shared" si="150"/>
        <v>0</v>
      </c>
    </row>
    <row r="247" spans="1:54" s="4" customFormat="1" ht="10.5">
      <c r="A247" s="12"/>
      <c r="B247" s="13">
        <f t="shared" si="123"/>
        <v>2036</v>
      </c>
      <c r="C247" s="78">
        <f t="shared" si="151"/>
        <v>52716.69486039273</v>
      </c>
      <c r="D247" s="78">
        <f t="shared" si="151"/>
        <v>1526.0095880639999</v>
      </c>
      <c r="E247" s="78">
        <f ca="1">C247*Zalozenia!$C658</f>
        <v>4099.0324760501544</v>
      </c>
      <c r="F247" s="78">
        <f ca="1">D247*Zalozenia!$D658</f>
        <v>3222.2575196187022</v>
      </c>
      <c r="G247" s="78">
        <f t="shared" si="125"/>
        <v>7321.2899956688561</v>
      </c>
      <c r="I247" s="12"/>
      <c r="J247" s="13">
        <f t="shared" si="126"/>
        <v>2036</v>
      </c>
      <c r="K247" s="78">
        <f t="shared" si="127"/>
        <v>154837.91831040001</v>
      </c>
      <c r="L247" s="78">
        <f t="shared" si="127"/>
        <v>4482.1502668799994</v>
      </c>
      <c r="M247" s="78">
        <f ca="1">K247*Zalozenia!$C658</f>
        <v>12039.557057951757</v>
      </c>
      <c r="N247" s="78">
        <f ca="1">L247*Zalozenia!$D658</f>
        <v>9464.3195655395411</v>
      </c>
      <c r="O247" s="78">
        <f t="shared" si="128"/>
        <v>21503.876623491298</v>
      </c>
      <c r="Q247" s="12"/>
      <c r="R247" s="13">
        <f t="shared" si="129"/>
        <v>2036</v>
      </c>
      <c r="S247" s="78">
        <f t="shared" si="130"/>
        <v>91889.762964480004</v>
      </c>
      <c r="T247" s="78">
        <f t="shared" si="131"/>
        <v>2659.9668226559997</v>
      </c>
      <c r="U247" s="78">
        <f ca="1">S247*Zalozenia!$C658</f>
        <v>7144.9684697692783</v>
      </c>
      <c r="V247" s="78">
        <f ca="1">T247*Zalozenia!$D658</f>
        <v>5616.6738159970819</v>
      </c>
      <c r="W247" s="78">
        <f t="shared" si="132"/>
        <v>12761.64228576636</v>
      </c>
      <c r="Y247" s="12"/>
      <c r="Z247" s="13">
        <f t="shared" si="133"/>
        <v>2036</v>
      </c>
      <c r="AA247" s="78">
        <f t="shared" si="134"/>
        <v>91271.801299025465</v>
      </c>
      <c r="AB247" s="78">
        <f t="shared" si="135"/>
        <v>2642.0784586559998</v>
      </c>
      <c r="AC247" s="78">
        <f ca="1">AA247*Zalozenia!$C658</f>
        <v>7096.9183228023576</v>
      </c>
      <c r="AD247" s="78">
        <f ca="1">AB247*Zalozenia!$D658</f>
        <v>5578.901500630569</v>
      </c>
      <c r="AE247" s="78">
        <f t="shared" si="136"/>
        <v>12675.819823432927</v>
      </c>
      <c r="AG247" s="12"/>
      <c r="AH247" s="13">
        <f t="shared" si="137"/>
        <v>2036</v>
      </c>
      <c r="AI247" s="78">
        <f t="shared" si="143"/>
        <v>118238.44854148364</v>
      </c>
      <c r="AJ247" s="78">
        <f t="shared" si="144"/>
        <v>3422.6919314639999</v>
      </c>
      <c r="AK247" s="78">
        <f ca="1">AI247*Zalozenia!$C658</f>
        <v>9193.733441992872</v>
      </c>
      <c r="AL247" s="78">
        <f ca="1">AJ247*Zalozenia!$D658</f>
        <v>7227.2120042771267</v>
      </c>
      <c r="AM247" s="78">
        <f t="shared" si="138"/>
        <v>16420.945446269998</v>
      </c>
      <c r="AO247" s="12"/>
      <c r="AP247" s="13">
        <f t="shared" si="139"/>
        <v>2036</v>
      </c>
      <c r="AQ247" s="78">
        <f t="shared" si="140"/>
        <v>0</v>
      </c>
      <c r="AR247" s="78">
        <f t="shared" si="141"/>
        <v>0</v>
      </c>
      <c r="AS247" s="78">
        <f ca="1">AQ247*Zalozenia!$C658</f>
        <v>0</v>
      </c>
      <c r="AT247" s="78">
        <f ca="1">AR247*Zalozenia!$D658</f>
        <v>0</v>
      </c>
      <c r="AU247" s="78">
        <f t="shared" si="142"/>
        <v>0</v>
      </c>
      <c r="AW247" s="23">
        <f t="shared" si="145"/>
        <v>7321.2899956688561</v>
      </c>
      <c r="AX247" s="23">
        <f t="shared" si="146"/>
        <v>21503.876623491298</v>
      </c>
      <c r="AY247" s="23">
        <f t="shared" si="147"/>
        <v>12761.64228576636</v>
      </c>
      <c r="AZ247" s="23">
        <f t="shared" si="148"/>
        <v>12675.819823432927</v>
      </c>
      <c r="BA247" s="23">
        <f t="shared" si="149"/>
        <v>16420.945446269998</v>
      </c>
      <c r="BB247" s="23">
        <f t="shared" si="150"/>
        <v>0</v>
      </c>
    </row>
    <row r="248" spans="1:54" s="4" customFormat="1" ht="10.5">
      <c r="A248" s="12"/>
      <c r="B248" s="13">
        <f t="shared" si="123"/>
        <v>2037</v>
      </c>
      <c r="C248" s="78">
        <f t="shared" si="151"/>
        <v>53074.264620567279</v>
      </c>
      <c r="D248" s="78">
        <f t="shared" si="151"/>
        <v>1536.3602916480002</v>
      </c>
      <c r="E248" s="78">
        <f ca="1">C248*Zalozenia!$C659</f>
        <v>4296.0358844413977</v>
      </c>
      <c r="F248" s="78">
        <f ca="1">D248*Zalozenia!$D659</f>
        <v>3377.1222877775758</v>
      </c>
      <c r="G248" s="78">
        <f t="shared" si="125"/>
        <v>7673.158172218973</v>
      </c>
      <c r="I248" s="12"/>
      <c r="J248" s="13">
        <f t="shared" si="126"/>
        <v>2037</v>
      </c>
      <c r="K248" s="78">
        <f t="shared" si="127"/>
        <v>155717.67920989089</v>
      </c>
      <c r="L248" s="78">
        <f t="shared" si="127"/>
        <v>4507.6170297599992</v>
      </c>
      <c r="M248" s="78">
        <f ca="1">K248*Zalozenia!$C659</f>
        <v>12604.390141062593</v>
      </c>
      <c r="N248" s="78">
        <f ca="1">L248*Zalozenia!$D659</f>
        <v>9908.3359669751098</v>
      </c>
      <c r="O248" s="78">
        <f t="shared" si="128"/>
        <v>22512.726108037703</v>
      </c>
      <c r="Q248" s="12"/>
      <c r="R248" s="13">
        <f t="shared" si="129"/>
        <v>2037</v>
      </c>
      <c r="S248" s="78">
        <f t="shared" si="130"/>
        <v>92352.593698560027</v>
      </c>
      <c r="T248" s="78">
        <f t="shared" si="131"/>
        <v>2673.3645544320002</v>
      </c>
      <c r="U248" s="78">
        <f ca="1">S248*Zalozenia!$C659</f>
        <v>7475.3754835163973</v>
      </c>
      <c r="V248" s="78">
        <f ca="1">T248*Zalozenia!$D659</f>
        <v>5876.4074216227991</v>
      </c>
      <c r="W248" s="78">
        <f t="shared" si="132"/>
        <v>13351.782905139196</v>
      </c>
      <c r="Y248" s="12"/>
      <c r="Z248" s="13">
        <f t="shared" si="133"/>
        <v>2037</v>
      </c>
      <c r="AA248" s="78">
        <f t="shared" si="134"/>
        <v>91794.804358778187</v>
      </c>
      <c r="AB248" s="78">
        <f t="shared" si="135"/>
        <v>2657.2180209120002</v>
      </c>
      <c r="AC248" s="78">
        <f ca="1">AA248*Zalozenia!$C659</f>
        <v>7430.2258608736174</v>
      </c>
      <c r="AD248" s="78">
        <f ca="1">AB248*Zalozenia!$D659</f>
        <v>5840.9152141522136</v>
      </c>
      <c r="AE248" s="78">
        <f t="shared" si="136"/>
        <v>13271.141075025831</v>
      </c>
      <c r="AG248" s="12"/>
      <c r="AH248" s="13">
        <f t="shared" si="137"/>
        <v>2037</v>
      </c>
      <c r="AI248" s="78">
        <f t="shared" si="143"/>
        <v>118836.84292442183</v>
      </c>
      <c r="AJ248" s="78">
        <f t="shared" si="144"/>
        <v>3440.0138741280002</v>
      </c>
      <c r="AK248" s="78">
        <f ca="1">AI248*Zalozenia!$C659</f>
        <v>9619.1128647160367</v>
      </c>
      <c r="AL248" s="78">
        <f ca="1">AJ248*Zalozenia!$D659</f>
        <v>7561.6036080444574</v>
      </c>
      <c r="AM248" s="78">
        <f t="shared" si="138"/>
        <v>17180.716472760494</v>
      </c>
      <c r="AO248" s="12"/>
      <c r="AP248" s="13">
        <f t="shared" si="139"/>
        <v>2037</v>
      </c>
      <c r="AQ248" s="78">
        <f t="shared" si="140"/>
        <v>0</v>
      </c>
      <c r="AR248" s="78">
        <f t="shared" si="141"/>
        <v>0</v>
      </c>
      <c r="AS248" s="78">
        <f ca="1">AQ248*Zalozenia!$C659</f>
        <v>0</v>
      </c>
      <c r="AT248" s="78">
        <f ca="1">AR248*Zalozenia!$D659</f>
        <v>0</v>
      </c>
      <c r="AU248" s="78">
        <f t="shared" si="142"/>
        <v>0</v>
      </c>
      <c r="AW248" s="23">
        <f t="shared" si="145"/>
        <v>7673.158172218973</v>
      </c>
      <c r="AX248" s="23">
        <f t="shared" si="146"/>
        <v>22512.726108037703</v>
      </c>
      <c r="AY248" s="23">
        <f t="shared" si="147"/>
        <v>13351.782905139196</v>
      </c>
      <c r="AZ248" s="23">
        <f t="shared" si="148"/>
        <v>13271.141075025831</v>
      </c>
      <c r="BA248" s="23">
        <f t="shared" si="149"/>
        <v>17180.716472760494</v>
      </c>
      <c r="BB248" s="23">
        <f t="shared" si="150"/>
        <v>0</v>
      </c>
    </row>
    <row r="249" spans="1:54" s="4" customFormat="1" ht="10.5">
      <c r="A249" s="12"/>
      <c r="B249" s="13">
        <f t="shared" si="123"/>
        <v>2038</v>
      </c>
      <c r="C249" s="78">
        <f t="shared" si="151"/>
        <v>53431.83438074182</v>
      </c>
      <c r="D249" s="78">
        <f t="shared" si="151"/>
        <v>1546.7109952319997</v>
      </c>
      <c r="E249" s="78">
        <f ca="1">C249*Zalozenia!$C660</f>
        <v>4502.3030987284819</v>
      </c>
      <c r="F249" s="78">
        <f ca="1">D249*Zalozenia!$D660</f>
        <v>3539.2693520349958</v>
      </c>
      <c r="G249" s="78">
        <f t="shared" si="125"/>
        <v>8041.5724507634777</v>
      </c>
      <c r="I249" s="12"/>
      <c r="J249" s="13">
        <f t="shared" si="126"/>
        <v>2038</v>
      </c>
      <c r="K249" s="78">
        <f t="shared" si="127"/>
        <v>156597.44010938183</v>
      </c>
      <c r="L249" s="78">
        <f t="shared" si="127"/>
        <v>4533.08379264</v>
      </c>
      <c r="M249" s="78">
        <f ca="1">K249*Zalozenia!$C660</f>
        <v>13195.301041574106</v>
      </c>
      <c r="N249" s="78">
        <f ca="1">L249*Zalozenia!$D660</f>
        <v>10372.852192138722</v>
      </c>
      <c r="O249" s="78">
        <f t="shared" si="128"/>
        <v>23568.15323371283</v>
      </c>
      <c r="Q249" s="12"/>
      <c r="R249" s="13">
        <f t="shared" si="129"/>
        <v>2038</v>
      </c>
      <c r="S249" s="78">
        <f t="shared" si="130"/>
        <v>92815.424432640008</v>
      </c>
      <c r="T249" s="78">
        <f t="shared" si="131"/>
        <v>2686.7622862079998</v>
      </c>
      <c r="U249" s="78">
        <f ca="1">S249*Zalozenia!$C660</f>
        <v>7820.8651803930943</v>
      </c>
      <c r="V249" s="78">
        <f ca="1">T249*Zalozenia!$D660</f>
        <v>6147.9975542251295</v>
      </c>
      <c r="W249" s="78">
        <f t="shared" si="132"/>
        <v>13968.862734618224</v>
      </c>
      <c r="Y249" s="12"/>
      <c r="Z249" s="13">
        <f t="shared" si="133"/>
        <v>2038</v>
      </c>
      <c r="AA249" s="78">
        <f t="shared" si="134"/>
        <v>92317.807418530923</v>
      </c>
      <c r="AB249" s="78">
        <f t="shared" si="135"/>
        <v>2672.357583168</v>
      </c>
      <c r="AC249" s="78">
        <f ca="1">AA249*Zalozenia!$C660</f>
        <v>7778.9346973660913</v>
      </c>
      <c r="AD249" s="78">
        <f ca="1">AB249*Zalozenia!$D660</f>
        <v>6115.0359187600707</v>
      </c>
      <c r="AE249" s="78">
        <f t="shared" si="136"/>
        <v>13893.970616126162</v>
      </c>
      <c r="AG249" s="12"/>
      <c r="AH249" s="13">
        <f t="shared" si="137"/>
        <v>2038</v>
      </c>
      <c r="AI249" s="78">
        <f t="shared" si="143"/>
        <v>119435.23730736</v>
      </c>
      <c r="AJ249" s="78">
        <f t="shared" si="144"/>
        <v>3457.3358167919996</v>
      </c>
      <c r="AK249" s="78">
        <f ca="1">AI249*Zalozenia!$C660</f>
        <v>10063.918734186511</v>
      </c>
      <c r="AL249" s="78">
        <f ca="1">AJ249*Zalozenia!$D660</f>
        <v>7911.2663799415168</v>
      </c>
      <c r="AM249" s="78">
        <f t="shared" si="138"/>
        <v>17975.185114128028</v>
      </c>
      <c r="AO249" s="12"/>
      <c r="AP249" s="13">
        <f t="shared" si="139"/>
        <v>2038</v>
      </c>
      <c r="AQ249" s="78">
        <f t="shared" si="140"/>
        <v>0</v>
      </c>
      <c r="AR249" s="78">
        <f t="shared" si="141"/>
        <v>0</v>
      </c>
      <c r="AS249" s="78">
        <f ca="1">AQ249*Zalozenia!$C660</f>
        <v>0</v>
      </c>
      <c r="AT249" s="78">
        <f ca="1">AR249*Zalozenia!$D660</f>
        <v>0</v>
      </c>
      <c r="AU249" s="78">
        <f t="shared" si="142"/>
        <v>0</v>
      </c>
      <c r="AW249" s="23">
        <f t="shared" si="145"/>
        <v>8041.5724507634777</v>
      </c>
      <c r="AX249" s="23">
        <f t="shared" si="146"/>
        <v>23568.15323371283</v>
      </c>
      <c r="AY249" s="23">
        <f t="shared" si="147"/>
        <v>13968.862734618224</v>
      </c>
      <c r="AZ249" s="23">
        <f t="shared" si="148"/>
        <v>13893.970616126162</v>
      </c>
      <c r="BA249" s="23">
        <f t="shared" si="149"/>
        <v>17975.185114128028</v>
      </c>
      <c r="BB249" s="23">
        <f t="shared" si="150"/>
        <v>0</v>
      </c>
    </row>
    <row r="250" spans="1:54" s="4" customFormat="1" ht="10.5">
      <c r="A250" s="12"/>
      <c r="B250" s="13">
        <f t="shared" si="123"/>
        <v>2039</v>
      </c>
      <c r="C250" s="78">
        <f t="shared" si="151"/>
        <v>53789.404140916362</v>
      </c>
      <c r="D250" s="78">
        <f t="shared" si="151"/>
        <v>1557.0616988159998</v>
      </c>
      <c r="E250" s="78">
        <f ca="1">C250*Zalozenia!$C661</f>
        <v>4718.262588265361</v>
      </c>
      <c r="F250" s="78">
        <f ca="1">D250*Zalozenia!$D661</f>
        <v>3709.0355329957711</v>
      </c>
      <c r="G250" s="78">
        <f t="shared" si="125"/>
        <v>8427.2981212611321</v>
      </c>
      <c r="I250" s="12"/>
      <c r="J250" s="13">
        <f t="shared" si="126"/>
        <v>2039</v>
      </c>
      <c r="K250" s="78">
        <f t="shared" si="127"/>
        <v>157477.20100887274</v>
      </c>
      <c r="L250" s="78">
        <f t="shared" si="127"/>
        <v>4558.5505555199989</v>
      </c>
      <c r="M250" s="78">
        <f ca="1">K250*Zalozenia!$C661</f>
        <v>13813.478656100435</v>
      </c>
      <c r="N250" s="78">
        <f ca="1">L250*Zalozenia!$D661</f>
        <v>10858.802835005261</v>
      </c>
      <c r="O250" s="78">
        <f t="shared" si="128"/>
        <v>24672.281491105696</v>
      </c>
      <c r="Q250" s="12"/>
      <c r="R250" s="13">
        <f t="shared" si="129"/>
        <v>2039</v>
      </c>
      <c r="S250" s="78">
        <f t="shared" si="130"/>
        <v>93278.255166720002</v>
      </c>
      <c r="T250" s="78">
        <f t="shared" si="131"/>
        <v>2700.1600179839998</v>
      </c>
      <c r="U250" s="78">
        <f ca="1">S250*Zalozenia!$C661</f>
        <v>8182.1189262258922</v>
      </c>
      <c r="V250" s="78">
        <f ca="1">T250*Zalozenia!$D661</f>
        <v>6431.9798368251049</v>
      </c>
      <c r="W250" s="78">
        <f t="shared" si="132"/>
        <v>14614.098763050997</v>
      </c>
      <c r="Y250" s="12"/>
      <c r="Z250" s="13">
        <f t="shared" si="133"/>
        <v>2039</v>
      </c>
      <c r="AA250" s="78">
        <f t="shared" si="134"/>
        <v>92840.810478283645</v>
      </c>
      <c r="AB250" s="78">
        <f t="shared" si="135"/>
        <v>2687.4971454239999</v>
      </c>
      <c r="AC250" s="78">
        <f ca="1">AA250*Zalozenia!$C661</f>
        <v>8143.7474487788195</v>
      </c>
      <c r="AD250" s="78">
        <f ca="1">AB250*Zalozenia!$D661</f>
        <v>6401.8159426707816</v>
      </c>
      <c r="AE250" s="78">
        <f t="shared" si="136"/>
        <v>14545.563391449601</v>
      </c>
      <c r="AG250" s="12"/>
      <c r="AH250" s="13">
        <f t="shared" si="137"/>
        <v>2039</v>
      </c>
      <c r="AI250" s="78">
        <f t="shared" si="143"/>
        <v>120033.63169029819</v>
      </c>
      <c r="AJ250" s="78">
        <f t="shared" si="144"/>
        <v>3474.6577594559999</v>
      </c>
      <c r="AK250" s="78">
        <f ca="1">AI250*Zalozenia!$C661</f>
        <v>10529.028956227978</v>
      </c>
      <c r="AL250" s="78">
        <f ca="1">AJ250*Zalozenia!$D661</f>
        <v>8276.8904434690139</v>
      </c>
      <c r="AM250" s="78">
        <f t="shared" si="138"/>
        <v>18805.919399696992</v>
      </c>
      <c r="AO250" s="12"/>
      <c r="AP250" s="13">
        <f t="shared" si="139"/>
        <v>2039</v>
      </c>
      <c r="AQ250" s="78">
        <f t="shared" si="140"/>
        <v>0</v>
      </c>
      <c r="AR250" s="78">
        <f t="shared" si="141"/>
        <v>0</v>
      </c>
      <c r="AS250" s="78">
        <f ca="1">AQ250*Zalozenia!$C661</f>
        <v>0</v>
      </c>
      <c r="AT250" s="78">
        <f ca="1">AR250*Zalozenia!$D661</f>
        <v>0</v>
      </c>
      <c r="AU250" s="78">
        <f t="shared" si="142"/>
        <v>0</v>
      </c>
      <c r="AW250" s="23">
        <f t="shared" si="145"/>
        <v>8427.2981212611321</v>
      </c>
      <c r="AX250" s="23">
        <f t="shared" si="146"/>
        <v>24672.281491105696</v>
      </c>
      <c r="AY250" s="23">
        <f t="shared" si="147"/>
        <v>14614.098763050997</v>
      </c>
      <c r="AZ250" s="23">
        <f t="shared" si="148"/>
        <v>14545.563391449601</v>
      </c>
      <c r="BA250" s="23">
        <f t="shared" si="149"/>
        <v>18805.919399696992</v>
      </c>
      <c r="BB250" s="23">
        <f t="shared" si="150"/>
        <v>0</v>
      </c>
    </row>
    <row r="251" spans="1:54" s="4" customFormat="1" ht="10.5">
      <c r="A251" s="12"/>
      <c r="B251" s="13">
        <f t="shared" si="123"/>
        <v>2040</v>
      </c>
      <c r="C251" s="78">
        <f t="shared" si="151"/>
        <v>53164.468326272727</v>
      </c>
      <c r="D251" s="78">
        <f t="shared" si="151"/>
        <v>1538.97145155</v>
      </c>
      <c r="E251" s="78">
        <f ca="1">C251*Zalozenia!$C662</f>
        <v>4854.6461314919206</v>
      </c>
      <c r="F251" s="78">
        <f ca="1">D251*Zalozenia!$D662</f>
        <v>3816.2469055042147</v>
      </c>
      <c r="G251" s="78">
        <f t="shared" si="125"/>
        <v>8670.8930369961345</v>
      </c>
      <c r="I251" s="12"/>
      <c r="J251" s="13">
        <f t="shared" si="126"/>
        <v>2040</v>
      </c>
      <c r="K251" s="78">
        <f t="shared" si="127"/>
        <v>155483.54929309091</v>
      </c>
      <c r="L251" s="78">
        <f t="shared" si="127"/>
        <v>4500.8395848</v>
      </c>
      <c r="M251" s="78">
        <f ca="1">K251*Zalozenia!$C662</f>
        <v>14197.783498068438</v>
      </c>
      <c r="N251" s="78">
        <f ca="1">L251*Zalozenia!$D662</f>
        <v>11160.905629772711</v>
      </c>
      <c r="O251" s="78">
        <f t="shared" si="128"/>
        <v>25358.689127841149</v>
      </c>
      <c r="Q251" s="12"/>
      <c r="R251" s="13">
        <f t="shared" si="129"/>
        <v>2040</v>
      </c>
      <c r="S251" s="78">
        <f t="shared" si="130"/>
        <v>92040.138777600005</v>
      </c>
      <c r="T251" s="78">
        <f t="shared" si="131"/>
        <v>2664.3198067199996</v>
      </c>
      <c r="U251" s="78">
        <f ca="1">S251*Zalozenia!$C662</f>
        <v>8404.5287712930149</v>
      </c>
      <c r="V251" s="78">
        <f ca="1">T251*Zalozenia!$D662</f>
        <v>6606.8166549991693</v>
      </c>
      <c r="W251" s="78">
        <f t="shared" si="132"/>
        <v>15011.345426292184</v>
      </c>
      <c r="Y251" s="12"/>
      <c r="Z251" s="13">
        <f t="shared" si="133"/>
        <v>2040</v>
      </c>
      <c r="AA251" s="78">
        <f t="shared" si="134"/>
        <v>91669.712082709098</v>
      </c>
      <c r="AB251" s="78">
        <f t="shared" si="135"/>
        <v>2653.5969287100002</v>
      </c>
      <c r="AC251" s="78">
        <f ca="1">AA251*Zalozenia!$C662</f>
        <v>8370.7037265221861</v>
      </c>
      <c r="AD251" s="78">
        <f ca="1">AB251*Zalozenia!$D662</f>
        <v>6580.2267205448652</v>
      </c>
      <c r="AE251" s="78">
        <f t="shared" si="136"/>
        <v>14950.93044706705</v>
      </c>
      <c r="AG251" s="12"/>
      <c r="AH251" s="13">
        <f t="shared" si="137"/>
        <v>2040</v>
      </c>
      <c r="AI251" s="78">
        <f t="shared" si="143"/>
        <v>118443.13850335912</v>
      </c>
      <c r="AJ251" s="78">
        <f t="shared" si="144"/>
        <v>3428.6171672024998</v>
      </c>
      <c r="AK251" s="78">
        <f ca="1">AI251*Zalozenia!$C662</f>
        <v>10815.485271258545</v>
      </c>
      <c r="AL251" s="78">
        <f ca="1">AJ251*Zalozenia!$D662</f>
        <v>8502.0743180888458</v>
      </c>
      <c r="AM251" s="78">
        <f t="shared" si="138"/>
        <v>19317.559589347391</v>
      </c>
      <c r="AO251" s="12"/>
      <c r="AP251" s="13">
        <f t="shared" si="139"/>
        <v>2040</v>
      </c>
      <c r="AQ251" s="78">
        <f t="shared" si="140"/>
        <v>119836.8</v>
      </c>
      <c r="AR251" s="78">
        <f t="shared" si="141"/>
        <v>3468.9599999999996</v>
      </c>
      <c r="AS251" s="78">
        <f ca="1">AQ251*Zalozenia!$C662</f>
        <v>10942.745706776404</v>
      </c>
      <c r="AT251" s="78">
        <f ca="1">AR251*Zalozenia!$D662</f>
        <v>8602.113997621349</v>
      </c>
      <c r="AU251" s="78">
        <f t="shared" si="142"/>
        <v>19544.859704397753</v>
      </c>
      <c r="AW251" s="23">
        <f t="shared" si="145"/>
        <v>8670.8930369961345</v>
      </c>
      <c r="AX251" s="23">
        <f t="shared" si="146"/>
        <v>25358.689127841149</v>
      </c>
      <c r="AY251" s="23">
        <f t="shared" si="147"/>
        <v>15011.345426292184</v>
      </c>
      <c r="AZ251" s="23">
        <f t="shared" si="148"/>
        <v>14950.93044706705</v>
      </c>
      <c r="BA251" s="23">
        <f t="shared" si="149"/>
        <v>19317.559589347391</v>
      </c>
      <c r="BB251" s="23">
        <f t="shared" si="150"/>
        <v>19544.859704397753</v>
      </c>
    </row>
    <row r="252" spans="1:54" s="4" customFormat="1" ht="10.5">
      <c r="A252" s="12"/>
      <c r="B252" s="13">
        <f t="shared" si="123"/>
        <v>2041</v>
      </c>
      <c r="C252" s="78">
        <f t="shared" si="151"/>
        <v>53515.549925476371</v>
      </c>
      <c r="D252" s="78">
        <f t="shared" si="151"/>
        <v>1549.1343399479999</v>
      </c>
      <c r="E252" s="78">
        <f ca="1">C252*Zalozenia!$C663</f>
        <v>5087.0595961732033</v>
      </c>
      <c r="F252" s="78">
        <f ca="1">D252*Zalozenia!$D663</f>
        <v>3998.9475888009565</v>
      </c>
      <c r="G252" s="78">
        <f t="shared" si="125"/>
        <v>9086.0071849741598</v>
      </c>
      <c r="I252" s="12"/>
      <c r="J252" s="13">
        <f t="shared" si="126"/>
        <v>2041</v>
      </c>
      <c r="K252" s="78">
        <f t="shared" si="127"/>
        <v>156347.34678916368</v>
      </c>
      <c r="L252" s="78">
        <f t="shared" si="127"/>
        <v>4525.8442491600008</v>
      </c>
      <c r="M252" s="78">
        <f ca="1">K252*Zalozenia!$C663</f>
        <v>14862.003136053077</v>
      </c>
      <c r="N252" s="78">
        <f ca="1">L252*Zalozenia!$D663</f>
        <v>11683.049998152244</v>
      </c>
      <c r="O252" s="78">
        <f t="shared" si="128"/>
        <v>26545.053134205322</v>
      </c>
      <c r="Q252" s="12"/>
      <c r="R252" s="13">
        <f t="shared" si="129"/>
        <v>2041</v>
      </c>
      <c r="S252" s="78">
        <f t="shared" si="130"/>
        <v>92494.571373360013</v>
      </c>
      <c r="T252" s="78">
        <f t="shared" si="131"/>
        <v>2677.474434492</v>
      </c>
      <c r="U252" s="78">
        <f ca="1">S252*Zalozenia!$C663</f>
        <v>8792.3117216213486</v>
      </c>
      <c r="V252" s="78">
        <f ca="1">T252*Zalozenia!$D663</f>
        <v>6911.6535976133573</v>
      </c>
      <c r="W252" s="78">
        <f t="shared" si="132"/>
        <v>15703.965319234707</v>
      </c>
      <c r="Y252" s="12"/>
      <c r="Z252" s="13">
        <f t="shared" si="133"/>
        <v>2041</v>
      </c>
      <c r="AA252" s="78">
        <f t="shared" si="134"/>
        <v>92183.225167587283</v>
      </c>
      <c r="AB252" s="78">
        <f t="shared" si="135"/>
        <v>2668.461781167</v>
      </c>
      <c r="AC252" s="78">
        <f ca="1">AA252*Zalozenia!$C663</f>
        <v>8762.7158993600824</v>
      </c>
      <c r="AD252" s="78">
        <f ca="1">AB252*Zalozenia!$D663</f>
        <v>6888.3882633209696</v>
      </c>
      <c r="AE252" s="78">
        <f t="shared" si="136"/>
        <v>15651.104162681051</v>
      </c>
      <c r="AG252" s="12"/>
      <c r="AH252" s="13">
        <f t="shared" si="137"/>
        <v>2041</v>
      </c>
      <c r="AI252" s="78">
        <f t="shared" si="143"/>
        <v>119030.67492370367</v>
      </c>
      <c r="AJ252" s="78">
        <f t="shared" si="144"/>
        <v>3445.6248004230006</v>
      </c>
      <c r="AK252" s="78">
        <f ca="1">AI252*Zalozenia!$C663</f>
        <v>11314.769967847058</v>
      </c>
      <c r="AL252" s="78">
        <f ca="1">AJ252*Zalozenia!$D663</f>
        <v>8894.5630035073991</v>
      </c>
      <c r="AM252" s="78">
        <f t="shared" si="138"/>
        <v>20209.332971354459</v>
      </c>
      <c r="AO252" s="12"/>
      <c r="AP252" s="13">
        <f t="shared" si="139"/>
        <v>2041</v>
      </c>
      <c r="AQ252" s="78">
        <f t="shared" si="140"/>
        <v>127825.92</v>
      </c>
      <c r="AR252" s="78">
        <f t="shared" si="141"/>
        <v>3700.2239999999997</v>
      </c>
      <c r="AS252" s="78">
        <f ca="1">AQ252*Zalozenia!$C663</f>
        <v>12150.824832804517</v>
      </c>
      <c r="AT252" s="78">
        <f ca="1">AR252*Zalozenia!$D663</f>
        <v>9551.7873829587443</v>
      </c>
      <c r="AU252" s="78">
        <f t="shared" si="142"/>
        <v>21702.612215763264</v>
      </c>
      <c r="AW252" s="23">
        <f t="shared" si="145"/>
        <v>9086.0071849741598</v>
      </c>
      <c r="AX252" s="23">
        <f t="shared" si="146"/>
        <v>26545.053134205322</v>
      </c>
      <c r="AY252" s="23">
        <f t="shared" si="147"/>
        <v>15703.965319234707</v>
      </c>
      <c r="AZ252" s="23">
        <f t="shared" si="148"/>
        <v>15651.104162681051</v>
      </c>
      <c r="BA252" s="23">
        <f t="shared" si="149"/>
        <v>20209.332971354459</v>
      </c>
      <c r="BB252" s="23">
        <f t="shared" si="150"/>
        <v>21702.612215763264</v>
      </c>
    </row>
    <row r="253" spans="1:54" s="4" customFormat="1" ht="10.5">
      <c r="A253" s="12"/>
      <c r="B253" s="13">
        <f t="shared" si="123"/>
        <v>2042</v>
      </c>
      <c r="C253" s="78">
        <f t="shared" si="151"/>
        <v>53866.631524680008</v>
      </c>
      <c r="D253" s="78">
        <f t="shared" si="151"/>
        <v>1559.2972283460001</v>
      </c>
      <c r="E253" s="78">
        <f ca="1">C253*Zalozenia!$C664</f>
        <v>5330.3703048113139</v>
      </c>
      <c r="F253" s="78">
        <f ca="1">D253*Zalozenia!$D664</f>
        <v>4190.2146170798787</v>
      </c>
      <c r="G253" s="78">
        <f t="shared" si="125"/>
        <v>9520.5849218911935</v>
      </c>
      <c r="I253" s="12"/>
      <c r="J253" s="13">
        <f t="shared" si="126"/>
        <v>2042</v>
      </c>
      <c r="K253" s="78">
        <f t="shared" si="127"/>
        <v>157211.14428523634</v>
      </c>
      <c r="L253" s="78">
        <f t="shared" si="127"/>
        <v>4550.8489135199998</v>
      </c>
      <c r="M253" s="78">
        <f ca="1">K253*Zalozenia!$C664</f>
        <v>15556.822310292191</v>
      </c>
      <c r="N253" s="78">
        <f ca="1">L253*Zalozenia!$D664</f>
        <v>12229.248722375249</v>
      </c>
      <c r="O253" s="78">
        <f t="shared" si="128"/>
        <v>27786.071032667438</v>
      </c>
      <c r="Q253" s="12"/>
      <c r="R253" s="13">
        <f t="shared" si="129"/>
        <v>2042</v>
      </c>
      <c r="S253" s="78">
        <f t="shared" si="130"/>
        <v>92949.003969120007</v>
      </c>
      <c r="T253" s="78">
        <f t="shared" si="131"/>
        <v>2690.6290622640004</v>
      </c>
      <c r="U253" s="78">
        <f ca="1">S253*Zalozenia!$C664</f>
        <v>9197.7648610120596</v>
      </c>
      <c r="V253" s="78">
        <f ca="1">T253*Zalozenia!$D664</f>
        <v>7230.3811107248557</v>
      </c>
      <c r="W253" s="78">
        <f t="shared" si="132"/>
        <v>16428.145971736914</v>
      </c>
      <c r="Y253" s="12"/>
      <c r="Z253" s="13">
        <f t="shared" si="133"/>
        <v>2042</v>
      </c>
      <c r="AA253" s="78">
        <f t="shared" si="134"/>
        <v>92696.738252465468</v>
      </c>
      <c r="AB253" s="78">
        <f t="shared" si="135"/>
        <v>2683.3266336239999</v>
      </c>
      <c r="AC253" s="78">
        <f ca="1">AA253*Zalozenia!$C664</f>
        <v>9172.8019174064011</v>
      </c>
      <c r="AD253" s="78">
        <f ca="1">AB253*Zalozenia!$D664</f>
        <v>7210.757691487479</v>
      </c>
      <c r="AE253" s="78">
        <f t="shared" si="136"/>
        <v>16383.55960889388</v>
      </c>
      <c r="AG253" s="12"/>
      <c r="AH253" s="13">
        <f t="shared" si="137"/>
        <v>2042</v>
      </c>
      <c r="AI253" s="78">
        <f t="shared" si="143"/>
        <v>119618.21134404819</v>
      </c>
      <c r="AJ253" s="78">
        <f t="shared" si="144"/>
        <v>3462.6324336435005</v>
      </c>
      <c r="AK253" s="78">
        <f ca="1">AI253*Zalozenia!$C664</f>
        <v>11836.815178814841</v>
      </c>
      <c r="AL253" s="78">
        <f ca="1">AJ253*Zalozenia!$D664</f>
        <v>9304.9437742015634</v>
      </c>
      <c r="AM253" s="78">
        <f t="shared" si="138"/>
        <v>21141.758953016404</v>
      </c>
      <c r="AO253" s="12"/>
      <c r="AP253" s="13">
        <f t="shared" si="139"/>
        <v>2042</v>
      </c>
      <c r="AQ253" s="78">
        <f t="shared" si="140"/>
        <v>135815.04000000001</v>
      </c>
      <c r="AR253" s="78">
        <f t="shared" si="141"/>
        <v>3931.4879999999998</v>
      </c>
      <c r="AS253" s="78">
        <f ca="1">AQ253*Zalozenia!$C664</f>
        <v>13439.571691633846</v>
      </c>
      <c r="AT253" s="78">
        <f ca="1">AR253*Zalozenia!$D664</f>
        <v>10564.873832263806</v>
      </c>
      <c r="AU253" s="78">
        <f t="shared" si="142"/>
        <v>24004.445523897652</v>
      </c>
      <c r="AW253" s="23">
        <f t="shared" si="145"/>
        <v>9520.5849218911935</v>
      </c>
      <c r="AX253" s="23">
        <f t="shared" si="146"/>
        <v>27786.071032667438</v>
      </c>
      <c r="AY253" s="23">
        <f t="shared" si="147"/>
        <v>16428.145971736914</v>
      </c>
      <c r="AZ253" s="23">
        <f t="shared" si="148"/>
        <v>16383.55960889388</v>
      </c>
      <c r="BA253" s="23">
        <f t="shared" si="149"/>
        <v>21141.758953016404</v>
      </c>
      <c r="BB253" s="23">
        <f t="shared" si="150"/>
        <v>24004.445523897652</v>
      </c>
    </row>
    <row r="254" spans="1:54" s="4" customFormat="1" ht="10.5">
      <c r="A254" s="12"/>
      <c r="B254" s="13">
        <v>2043</v>
      </c>
      <c r="C254" s="78">
        <f t="shared" si="151"/>
        <v>54217.713123883637</v>
      </c>
      <c r="D254" s="78">
        <f t="shared" si="151"/>
        <v>1569.4601167439998</v>
      </c>
      <c r="E254" s="78">
        <f ca="1">C254*Zalozenia!$C665</f>
        <v>5585.0811443765806</v>
      </c>
      <c r="F254" s="78">
        <f ca="1">D254*Zalozenia!$D665</f>
        <v>4390.4433107808964</v>
      </c>
      <c r="G254" s="78">
        <f t="shared" si="125"/>
        <v>9975.524455157476</v>
      </c>
      <c r="I254" s="12"/>
      <c r="J254" s="13">
        <v>2043</v>
      </c>
      <c r="K254" s="78">
        <f t="shared" si="127"/>
        <v>158074.94178130911</v>
      </c>
      <c r="L254" s="78">
        <f t="shared" si="127"/>
        <v>4575.8535778799996</v>
      </c>
      <c r="M254" s="78">
        <f ca="1">K254*Zalozenia!$C665</f>
        <v>16283.633629547219</v>
      </c>
      <c r="N254" s="78">
        <f ca="1">L254*Zalozenia!$D665</f>
        <v>12800.596534937646</v>
      </c>
      <c r="O254" s="78">
        <f t="shared" si="128"/>
        <v>29084.230164484863</v>
      </c>
      <c r="Q254" s="12"/>
      <c r="R254" s="13">
        <v>2043</v>
      </c>
      <c r="S254" s="78">
        <f t="shared" si="130"/>
        <v>93403.436564880016</v>
      </c>
      <c r="T254" s="78">
        <f t="shared" si="131"/>
        <v>2703.7836900360003</v>
      </c>
      <c r="U254" s="78">
        <f ca="1">S254*Zalozenia!$C665</f>
        <v>9621.6852818287643</v>
      </c>
      <c r="V254" s="78">
        <f ca="1">T254*Zalozenia!$D665</f>
        <v>7563.6257902139068</v>
      </c>
      <c r="W254" s="78">
        <f t="shared" si="132"/>
        <v>17185.31107204267</v>
      </c>
      <c r="Y254" s="12"/>
      <c r="Z254" s="13">
        <v>2043</v>
      </c>
      <c r="AA254" s="78">
        <f t="shared" si="134"/>
        <v>93210.251337343652</v>
      </c>
      <c r="AB254" s="78">
        <f t="shared" si="135"/>
        <v>2698.1914860810002</v>
      </c>
      <c r="AC254" s="78">
        <f ca="1">AA254*Zalozenia!$C665</f>
        <v>9601.7848635056944</v>
      </c>
      <c r="AD254" s="78">
        <f ca="1">AB254*Zalozenia!$D665</f>
        <v>7547.9820320930012</v>
      </c>
      <c r="AE254" s="78">
        <f t="shared" si="136"/>
        <v>17149.766895598696</v>
      </c>
      <c r="AG254" s="12"/>
      <c r="AH254" s="13">
        <v>2043</v>
      </c>
      <c r="AI254" s="78">
        <f t="shared" si="143"/>
        <v>120205.74776439276</v>
      </c>
      <c r="AJ254" s="78">
        <f t="shared" si="144"/>
        <v>3479.6400668640003</v>
      </c>
      <c r="AK254" s="78">
        <f ca="1">AI254*Zalozenia!$C665</f>
        <v>12382.647968766034</v>
      </c>
      <c r="AL254" s="78">
        <f ca="1">AJ254*Zalozenia!$D665</f>
        <v>9734.0240076837545</v>
      </c>
      <c r="AM254" s="78">
        <f t="shared" si="138"/>
        <v>22116.67197644979</v>
      </c>
      <c r="AO254" s="12"/>
      <c r="AP254" s="13">
        <v>2043</v>
      </c>
      <c r="AQ254" s="78">
        <f t="shared" si="140"/>
        <v>143804.16</v>
      </c>
      <c r="AR254" s="78">
        <f t="shared" si="141"/>
        <v>4162.7519999999995</v>
      </c>
      <c r="AS254" s="78">
        <f ca="1">AQ254*Zalozenia!$C665</f>
        <v>14813.570256343235</v>
      </c>
      <c r="AT254" s="78">
        <f ca="1">AR254*Zalozenia!$D665</f>
        <v>11644.976815821126</v>
      </c>
      <c r="AU254" s="78">
        <f t="shared" si="142"/>
        <v>26458.547072164361</v>
      </c>
      <c r="AW254" s="23">
        <f t="shared" si="145"/>
        <v>9975.524455157476</v>
      </c>
      <c r="AX254" s="23">
        <f t="shared" si="146"/>
        <v>29084.230164484863</v>
      </c>
      <c r="AY254" s="23">
        <f t="shared" si="147"/>
        <v>17185.31107204267</v>
      </c>
      <c r="AZ254" s="23">
        <f t="shared" si="148"/>
        <v>17149.766895598696</v>
      </c>
      <c r="BA254" s="23">
        <f t="shared" si="149"/>
        <v>22116.67197644979</v>
      </c>
      <c r="BB254" s="23">
        <f t="shared" si="150"/>
        <v>26458.547072164361</v>
      </c>
    </row>
    <row r="255" spans="1:54">
      <c r="A255" s="43"/>
      <c r="B255" s="13">
        <v>2044</v>
      </c>
      <c r="C255" s="78">
        <f t="shared" si="151"/>
        <v>54568.794723087274</v>
      </c>
      <c r="D255" s="78">
        <f t="shared" si="151"/>
        <v>1579.6230051419998</v>
      </c>
      <c r="E255" s="78">
        <f ca="1">C255*Zalozenia!$C666</f>
        <v>5621.2468014445849</v>
      </c>
      <c r="F255" s="78">
        <f ca="1">D255*Zalozenia!$D666</f>
        <v>4418.8732051816405</v>
      </c>
      <c r="G255" s="78">
        <f t="shared" si="125"/>
        <v>10040.120006626224</v>
      </c>
      <c r="I255" s="43"/>
      <c r="J255" s="13">
        <v>2044</v>
      </c>
      <c r="K255" s="78">
        <f t="shared" si="127"/>
        <v>158938.73927738183</v>
      </c>
      <c r="L255" s="78">
        <f t="shared" si="127"/>
        <v>4600.8582422399995</v>
      </c>
      <c r="M255" s="78">
        <f ca="1">K255*Zalozenia!$C666</f>
        <v>16372.615234080264</v>
      </c>
      <c r="N255" s="78">
        <f ca="1">L255*Zalozenia!$D666</f>
        <v>12870.545149882659</v>
      </c>
      <c r="O255" s="78">
        <f t="shared" si="128"/>
        <v>29243.160383962924</v>
      </c>
      <c r="Q255" s="43"/>
      <c r="R255" s="13">
        <v>2044</v>
      </c>
      <c r="S255" s="78">
        <f t="shared" si="130"/>
        <v>93857.86916064001</v>
      </c>
      <c r="T255" s="78">
        <f t="shared" si="131"/>
        <v>2716.9383178079997</v>
      </c>
      <c r="U255" s="78">
        <f ca="1">S255*Zalozenia!$C666</f>
        <v>9668.4973433439736</v>
      </c>
      <c r="V255" s="78">
        <f ca="1">T255*Zalozenia!$D666</f>
        <v>7600.424844163239</v>
      </c>
      <c r="W255" s="78">
        <f t="shared" si="132"/>
        <v>17268.922187507211</v>
      </c>
      <c r="Y255" s="43"/>
      <c r="Z255" s="13">
        <v>2044</v>
      </c>
      <c r="AA255" s="78">
        <f t="shared" si="134"/>
        <v>93723.764422221837</v>
      </c>
      <c r="AB255" s="78">
        <f t="shared" si="135"/>
        <v>2713.0563385380001</v>
      </c>
      <c r="AC255" s="78">
        <f ca="1">AA255*Zalozenia!$C666</f>
        <v>9654.6829309913264</v>
      </c>
      <c r="AD255" s="78">
        <f ca="1">AB255*Zalozenia!$D666</f>
        <v>7589.565307347536</v>
      </c>
      <c r="AE255" s="78">
        <f t="shared" si="136"/>
        <v>17244.248238338863</v>
      </c>
      <c r="AG255" s="43"/>
      <c r="AH255" s="13">
        <v>2044</v>
      </c>
      <c r="AI255" s="78">
        <f t="shared" si="143"/>
        <v>120793.28418473729</v>
      </c>
      <c r="AJ255" s="78">
        <f t="shared" si="144"/>
        <v>3496.6477000845002</v>
      </c>
      <c r="AK255" s="78">
        <f ca="1">AI255*Zalozenia!$C666</f>
        <v>12443.171336385818</v>
      </c>
      <c r="AL255" s="78">
        <f ca="1">AJ255*Zalozenia!$D666</f>
        <v>9781.6015464236825</v>
      </c>
      <c r="AM255" s="78">
        <f t="shared" si="138"/>
        <v>22224.772882809499</v>
      </c>
      <c r="AO255" s="43"/>
      <c r="AP255" s="13">
        <v>2044</v>
      </c>
      <c r="AQ255" s="78">
        <f t="shared" si="140"/>
        <v>151793.28</v>
      </c>
      <c r="AR255" s="78">
        <f t="shared" si="141"/>
        <v>4394.0159999999996</v>
      </c>
      <c r="AS255" s="78">
        <f ca="1">AQ255*Zalozenia!$C666</f>
        <v>15636.546381695636</v>
      </c>
      <c r="AT255" s="78">
        <f ca="1">AR255*Zalozenia!$D666</f>
        <v>12291.919972255633</v>
      </c>
      <c r="AU255" s="78">
        <f t="shared" si="142"/>
        <v>27928.466353951269</v>
      </c>
      <c r="AW255" s="23">
        <f t="shared" si="145"/>
        <v>10040.120006626224</v>
      </c>
      <c r="AX255" s="23">
        <f t="shared" si="146"/>
        <v>29243.160383962924</v>
      </c>
      <c r="AY255" s="23">
        <f t="shared" si="147"/>
        <v>17268.922187507211</v>
      </c>
      <c r="AZ255" s="23">
        <f t="shared" si="148"/>
        <v>17244.248238338863</v>
      </c>
      <c r="BA255" s="23">
        <f t="shared" si="149"/>
        <v>22224.772882809499</v>
      </c>
      <c r="BB255" s="23">
        <f t="shared" si="150"/>
        <v>27928.466353951269</v>
      </c>
    </row>
    <row r="257" spans="1:59" s="2" customFormat="1" ht="18" customHeight="1">
      <c r="A257" s="1" t="s">
        <v>175</v>
      </c>
      <c r="E257" s="3"/>
    </row>
    <row r="258" spans="1:59" s="4" customFormat="1" ht="10.5"/>
    <row r="259" spans="1:59" s="4" customFormat="1" ht="10.5">
      <c r="A259" s="169" t="s">
        <v>189</v>
      </c>
      <c r="B259" s="170"/>
      <c r="C259" s="170"/>
      <c r="D259" s="170"/>
      <c r="E259" s="170"/>
      <c r="F259" s="170"/>
      <c r="G259" s="170"/>
      <c r="H259" s="170"/>
      <c r="I259" s="171"/>
      <c r="K259" s="169" t="s">
        <v>190</v>
      </c>
      <c r="L259" s="170"/>
      <c r="M259" s="170"/>
      <c r="N259" s="170"/>
      <c r="O259" s="170"/>
      <c r="P259" s="170"/>
      <c r="Q259" s="170"/>
      <c r="R259" s="170"/>
      <c r="S259" s="171"/>
      <c r="U259" s="169" t="s">
        <v>191</v>
      </c>
      <c r="V259" s="170"/>
      <c r="W259" s="170"/>
      <c r="X259" s="170"/>
      <c r="Y259" s="170"/>
      <c r="Z259" s="170"/>
      <c r="AA259" s="170"/>
      <c r="AB259" s="170"/>
      <c r="AC259" s="171"/>
      <c r="AE259" s="169" t="s">
        <v>192</v>
      </c>
      <c r="AF259" s="170"/>
      <c r="AG259" s="170"/>
      <c r="AH259" s="170"/>
      <c r="AI259" s="170"/>
      <c r="AJ259" s="170"/>
      <c r="AK259" s="170"/>
      <c r="AL259" s="170"/>
      <c r="AM259" s="171"/>
      <c r="AO259" s="169" t="s">
        <v>193</v>
      </c>
      <c r="AP259" s="170"/>
      <c r="AQ259" s="170"/>
      <c r="AR259" s="170"/>
      <c r="AS259" s="170"/>
      <c r="AT259" s="170"/>
      <c r="AU259" s="170"/>
      <c r="AV259" s="170"/>
      <c r="AW259" s="171"/>
      <c r="AY259" s="169" t="s">
        <v>309</v>
      </c>
      <c r="AZ259" s="170"/>
      <c r="BA259" s="170"/>
      <c r="BB259" s="170"/>
      <c r="BC259" s="170"/>
      <c r="BD259" s="170"/>
      <c r="BE259" s="170"/>
      <c r="BF259" s="170"/>
      <c r="BG259" s="171"/>
    </row>
    <row r="260" spans="1:59" s="4" customFormat="1" ht="10.5">
      <c r="A260" s="134" t="s">
        <v>5</v>
      </c>
      <c r="B260" s="134"/>
      <c r="C260" s="6">
        <v>1</v>
      </c>
      <c r="D260" s="6">
        <v>2</v>
      </c>
      <c r="E260" s="6">
        <v>3</v>
      </c>
      <c r="F260" s="6">
        <v>4</v>
      </c>
      <c r="G260" s="6">
        <v>5</v>
      </c>
      <c r="H260" s="6">
        <v>6</v>
      </c>
      <c r="I260" s="6">
        <v>7</v>
      </c>
      <c r="K260" s="134" t="s">
        <v>5</v>
      </c>
      <c r="L260" s="134"/>
      <c r="M260" s="6">
        <v>1</v>
      </c>
      <c r="N260" s="6">
        <v>2</v>
      </c>
      <c r="O260" s="6">
        <v>3</v>
      </c>
      <c r="P260" s="6">
        <v>4</v>
      </c>
      <c r="Q260" s="6">
        <v>5</v>
      </c>
      <c r="R260" s="6">
        <v>6</v>
      </c>
      <c r="S260" s="6">
        <v>7</v>
      </c>
      <c r="U260" s="134" t="s">
        <v>5</v>
      </c>
      <c r="V260" s="134"/>
      <c r="W260" s="6">
        <v>1</v>
      </c>
      <c r="X260" s="6">
        <v>2</v>
      </c>
      <c r="Y260" s="6">
        <v>3</v>
      </c>
      <c r="Z260" s="6">
        <v>4</v>
      </c>
      <c r="AA260" s="6">
        <v>5</v>
      </c>
      <c r="AB260" s="6">
        <v>6</v>
      </c>
      <c r="AC260" s="6">
        <v>7</v>
      </c>
      <c r="AE260" s="134" t="s">
        <v>5</v>
      </c>
      <c r="AF260" s="134"/>
      <c r="AG260" s="6">
        <v>1</v>
      </c>
      <c r="AH260" s="6">
        <v>2</v>
      </c>
      <c r="AI260" s="6">
        <v>3</v>
      </c>
      <c r="AJ260" s="6">
        <v>4</v>
      </c>
      <c r="AK260" s="6">
        <v>5</v>
      </c>
      <c r="AL260" s="6">
        <v>6</v>
      </c>
      <c r="AM260" s="6">
        <v>7</v>
      </c>
      <c r="AO260" s="134" t="s">
        <v>5</v>
      </c>
      <c r="AP260" s="134"/>
      <c r="AQ260" s="6">
        <v>1</v>
      </c>
      <c r="AR260" s="6">
        <v>2</v>
      </c>
      <c r="AS260" s="6">
        <v>3</v>
      </c>
      <c r="AT260" s="6">
        <v>4</v>
      </c>
      <c r="AU260" s="6">
        <v>5</v>
      </c>
      <c r="AV260" s="6">
        <v>6</v>
      </c>
      <c r="AW260" s="6">
        <v>7</v>
      </c>
      <c r="AY260" s="134" t="s">
        <v>5</v>
      </c>
      <c r="AZ260" s="134"/>
      <c r="BA260" s="6">
        <v>1</v>
      </c>
      <c r="BB260" s="6">
        <v>2</v>
      </c>
      <c r="BC260" s="6">
        <v>3</v>
      </c>
      <c r="BD260" s="6">
        <v>4</v>
      </c>
      <c r="BE260" s="6">
        <v>5</v>
      </c>
      <c r="BF260" s="6">
        <v>6</v>
      </c>
      <c r="BG260" s="6">
        <v>7</v>
      </c>
    </row>
    <row r="261" spans="1:59" s="4" customFormat="1" ht="52.5">
      <c r="A261" s="134" t="s">
        <v>6</v>
      </c>
      <c r="B261" s="134"/>
      <c r="C261" s="35" t="s">
        <v>131</v>
      </c>
      <c r="D261" s="35" t="s">
        <v>176</v>
      </c>
      <c r="E261" s="35" t="s">
        <v>139</v>
      </c>
      <c r="F261" s="35" t="s">
        <v>147</v>
      </c>
      <c r="G261" s="35" t="s">
        <v>169</v>
      </c>
      <c r="H261" s="35" t="s">
        <v>177</v>
      </c>
      <c r="I261" s="35" t="s">
        <v>178</v>
      </c>
      <c r="K261" s="134" t="s">
        <v>6</v>
      </c>
      <c r="L261" s="134"/>
      <c r="M261" s="35" t="s">
        <v>131</v>
      </c>
      <c r="N261" s="35" t="s">
        <v>176</v>
      </c>
      <c r="O261" s="35" t="s">
        <v>139</v>
      </c>
      <c r="P261" s="35" t="s">
        <v>147</v>
      </c>
      <c r="Q261" s="35" t="s">
        <v>169</v>
      </c>
      <c r="R261" s="35" t="s">
        <v>177</v>
      </c>
      <c r="S261" s="35" t="s">
        <v>178</v>
      </c>
      <c r="U261" s="134" t="s">
        <v>6</v>
      </c>
      <c r="V261" s="134"/>
      <c r="W261" s="35" t="s">
        <v>131</v>
      </c>
      <c r="X261" s="35" t="s">
        <v>176</v>
      </c>
      <c r="Y261" s="35" t="s">
        <v>139</v>
      </c>
      <c r="Z261" s="35" t="s">
        <v>147</v>
      </c>
      <c r="AA261" s="35" t="s">
        <v>169</v>
      </c>
      <c r="AB261" s="35" t="s">
        <v>177</v>
      </c>
      <c r="AC261" s="35" t="s">
        <v>178</v>
      </c>
      <c r="AE261" s="134" t="s">
        <v>6</v>
      </c>
      <c r="AF261" s="134"/>
      <c r="AG261" s="35" t="s">
        <v>131</v>
      </c>
      <c r="AH261" s="35" t="s">
        <v>176</v>
      </c>
      <c r="AI261" s="35" t="s">
        <v>139</v>
      </c>
      <c r="AJ261" s="35" t="s">
        <v>147</v>
      </c>
      <c r="AK261" s="35" t="s">
        <v>169</v>
      </c>
      <c r="AL261" s="35" t="s">
        <v>177</v>
      </c>
      <c r="AM261" s="35" t="s">
        <v>178</v>
      </c>
      <c r="AO261" s="134" t="s">
        <v>6</v>
      </c>
      <c r="AP261" s="134"/>
      <c r="AQ261" s="35" t="s">
        <v>131</v>
      </c>
      <c r="AR261" s="35" t="s">
        <v>176</v>
      </c>
      <c r="AS261" s="35" t="s">
        <v>139</v>
      </c>
      <c r="AT261" s="35" t="s">
        <v>147</v>
      </c>
      <c r="AU261" s="35" t="s">
        <v>169</v>
      </c>
      <c r="AV261" s="35" t="s">
        <v>177</v>
      </c>
      <c r="AW261" s="35" t="s">
        <v>178</v>
      </c>
      <c r="AY261" s="134" t="s">
        <v>6</v>
      </c>
      <c r="AZ261" s="134"/>
      <c r="BA261" s="35" t="s">
        <v>131</v>
      </c>
      <c r="BB261" s="35" t="s">
        <v>176</v>
      </c>
      <c r="BC261" s="35" t="s">
        <v>139</v>
      </c>
      <c r="BD261" s="35" t="s">
        <v>147</v>
      </c>
      <c r="BE261" s="35" t="s">
        <v>169</v>
      </c>
      <c r="BF261" s="35" t="s">
        <v>177</v>
      </c>
      <c r="BG261" s="35" t="s">
        <v>178</v>
      </c>
    </row>
    <row r="262" spans="1:59" s="4" customFormat="1" ht="21">
      <c r="A262" s="8"/>
      <c r="B262" s="9" t="s">
        <v>22</v>
      </c>
      <c r="C262" s="36" t="s">
        <v>28</v>
      </c>
      <c r="D262" s="36" t="s">
        <v>28</v>
      </c>
      <c r="E262" s="36" t="s">
        <v>28</v>
      </c>
      <c r="F262" s="36" t="s">
        <v>28</v>
      </c>
      <c r="G262" s="36" t="s">
        <v>28</v>
      </c>
      <c r="H262" s="36"/>
      <c r="I262" s="36" t="s">
        <v>28</v>
      </c>
      <c r="K262" s="8"/>
      <c r="L262" s="9" t="s">
        <v>22</v>
      </c>
      <c r="M262" s="36" t="s">
        <v>28</v>
      </c>
      <c r="N262" s="36" t="s">
        <v>28</v>
      </c>
      <c r="O262" s="36" t="s">
        <v>28</v>
      </c>
      <c r="P262" s="36" t="s">
        <v>28</v>
      </c>
      <c r="Q262" s="36" t="s">
        <v>28</v>
      </c>
      <c r="R262" s="36"/>
      <c r="S262" s="36" t="s">
        <v>28</v>
      </c>
      <c r="U262" s="8"/>
      <c r="V262" s="9" t="s">
        <v>22</v>
      </c>
      <c r="W262" s="36" t="s">
        <v>28</v>
      </c>
      <c r="X262" s="36" t="s">
        <v>28</v>
      </c>
      <c r="Y262" s="36" t="s">
        <v>28</v>
      </c>
      <c r="Z262" s="36" t="s">
        <v>28</v>
      </c>
      <c r="AA262" s="36" t="s">
        <v>28</v>
      </c>
      <c r="AB262" s="36"/>
      <c r="AC262" s="36" t="s">
        <v>28</v>
      </c>
      <c r="AE262" s="8"/>
      <c r="AF262" s="9" t="s">
        <v>22</v>
      </c>
      <c r="AG262" s="36" t="s">
        <v>28</v>
      </c>
      <c r="AH262" s="36" t="s">
        <v>28</v>
      </c>
      <c r="AI262" s="36" t="s">
        <v>28</v>
      </c>
      <c r="AJ262" s="36" t="s">
        <v>28</v>
      </c>
      <c r="AK262" s="36" t="s">
        <v>28</v>
      </c>
      <c r="AL262" s="36"/>
      <c r="AM262" s="36" t="s">
        <v>28</v>
      </c>
      <c r="AO262" s="8"/>
      <c r="AP262" s="9" t="s">
        <v>22</v>
      </c>
      <c r="AQ262" s="36" t="s">
        <v>28</v>
      </c>
      <c r="AR262" s="36" t="s">
        <v>28</v>
      </c>
      <c r="AS262" s="36" t="s">
        <v>28</v>
      </c>
      <c r="AT262" s="36" t="s">
        <v>28</v>
      </c>
      <c r="AU262" s="36" t="s">
        <v>28</v>
      </c>
      <c r="AV262" s="36"/>
      <c r="AW262" s="36" t="s">
        <v>28</v>
      </c>
      <c r="AY262" s="8"/>
      <c r="AZ262" s="9" t="s">
        <v>22</v>
      </c>
      <c r="BA262" s="36" t="s">
        <v>28</v>
      </c>
      <c r="BB262" s="36" t="s">
        <v>28</v>
      </c>
      <c r="BC262" s="36" t="s">
        <v>28</v>
      </c>
      <c r="BD262" s="36" t="s">
        <v>28</v>
      </c>
      <c r="BE262" s="36" t="s">
        <v>28</v>
      </c>
      <c r="BF262" s="36"/>
      <c r="BG262" s="36" t="s">
        <v>28</v>
      </c>
    </row>
    <row r="263" spans="1:59" s="4" customFormat="1" ht="10.5">
      <c r="A263" s="12"/>
      <c r="B263" s="13">
        <f t="shared" ref="B263:B292" si="152">B189</f>
        <v>2015</v>
      </c>
      <c r="C263" s="78">
        <f>G115</f>
        <v>109798.83180831659</v>
      </c>
      <c r="D263" s="78">
        <f>H152</f>
        <v>-246320.3166157915</v>
      </c>
      <c r="E263" s="78">
        <f>G189</f>
        <v>3628.1661298876752</v>
      </c>
      <c r="F263" s="78">
        <f>G226</f>
        <v>2193.1807738056282</v>
      </c>
      <c r="G263" s="79">
        <f t="shared" ref="G263:G292" si="153">SUM(C263:F263)</f>
        <v>-130700.13790378158</v>
      </c>
      <c r="H263" s="78">
        <f ca="1">Zalozenia!F10</f>
        <v>0.95238095238095233</v>
      </c>
      <c r="I263" s="78">
        <f t="shared" ref="I263:I292" si="154">H263*G263</f>
        <v>-124476.32181312531</v>
      </c>
      <c r="J263" s="23"/>
      <c r="K263" s="12"/>
      <c r="L263" s="13">
        <f>B263</f>
        <v>2015</v>
      </c>
      <c r="M263" s="78">
        <f>O115</f>
        <v>437690.5614763198</v>
      </c>
      <c r="N263" s="78">
        <f>Q152</f>
        <v>-806441.25706700329</v>
      </c>
      <c r="O263" s="78">
        <f>O189</f>
        <v>10780.247989916514</v>
      </c>
      <c r="P263" s="78">
        <f>O226</f>
        <v>6516.5242665097121</v>
      </c>
      <c r="Q263" s="79">
        <f t="shared" ref="Q263:Q292" si="155">SUM(M263:P263)</f>
        <v>-351453.92333425727</v>
      </c>
      <c r="R263" s="78">
        <f>H263</f>
        <v>0.95238095238095233</v>
      </c>
      <c r="S263" s="78">
        <f>R263*Q263</f>
        <v>-334718.02222310216</v>
      </c>
      <c r="U263" s="12"/>
      <c r="V263" s="13">
        <f>L263</f>
        <v>2015</v>
      </c>
      <c r="W263" s="78">
        <f>W115</f>
        <v>224718.95577009584</v>
      </c>
      <c r="X263" s="78">
        <f>Z152</f>
        <v>-426580.39258172602</v>
      </c>
      <c r="Y263" s="78">
        <f>W189</f>
        <v>6687.3455349939841</v>
      </c>
      <c r="Z263" s="78">
        <f>W226</f>
        <v>4042.4162318051804</v>
      </c>
      <c r="AA263" s="79">
        <f t="shared" ref="AA263:AA292" si="156">SUM(W263:Z263)</f>
        <v>-191131.67504483103</v>
      </c>
      <c r="AB263" s="78">
        <f>R263</f>
        <v>0.95238095238095233</v>
      </c>
      <c r="AC263" s="78">
        <f>AB263*AA263</f>
        <v>-182030.16670936288</v>
      </c>
      <c r="AE263" s="12"/>
      <c r="AF263" s="13">
        <f>V263</f>
        <v>2015</v>
      </c>
      <c r="AG263" s="78">
        <f>AE115</f>
        <v>234282.75987144798</v>
      </c>
      <c r="AH263" s="78">
        <f>AI152</f>
        <v>-439433.70906191005</v>
      </c>
      <c r="AI263" s="78">
        <f>AE189</f>
        <v>6330.0123435689457</v>
      </c>
      <c r="AJ263" s="78">
        <f>AE226</f>
        <v>3826.4128137642683</v>
      </c>
      <c r="AK263" s="79">
        <f t="shared" ref="AK263:AK292" si="157">SUM(AG263:AJ263)</f>
        <v>-194994.52403312884</v>
      </c>
      <c r="AL263" s="78">
        <f>AB263</f>
        <v>0.95238095238095233</v>
      </c>
      <c r="AM263" s="78">
        <f>AL263*AK263</f>
        <v>-185709.07050774174</v>
      </c>
      <c r="AN263" s="23"/>
      <c r="AO263" s="12"/>
      <c r="AP263" s="13">
        <f>AF263</f>
        <v>2015</v>
      </c>
      <c r="AQ263" s="78">
        <f>AM115</f>
        <v>284466.15266054391</v>
      </c>
      <c r="AR263" s="78">
        <f>AR152</f>
        <v>-553378.02789365756</v>
      </c>
      <c r="AS263" s="78">
        <f>AM189</f>
        <v>8605.6322925159911</v>
      </c>
      <c r="AT263" s="78">
        <f>AM226</f>
        <v>5201.9964397195981</v>
      </c>
      <c r="AU263" s="79">
        <f t="shared" ref="AU263:AU292" si="158">SUM(AQ263:AT263)</f>
        <v>-255104.24650087804</v>
      </c>
      <c r="AV263" s="78">
        <f>AL263</f>
        <v>0.95238095238095233</v>
      </c>
      <c r="AW263" s="78">
        <f>AV263*AU263</f>
        <v>-242956.42523893146</v>
      </c>
      <c r="AY263" s="12"/>
      <c r="AZ263" s="13">
        <f>AP263</f>
        <v>2015</v>
      </c>
      <c r="BA263" s="78">
        <f>AU115</f>
        <v>0</v>
      </c>
      <c r="BB263" s="78">
        <f>BA152</f>
        <v>0</v>
      </c>
      <c r="BC263" s="78">
        <f>AU189</f>
        <v>0</v>
      </c>
      <c r="BD263" s="78">
        <f>AU226</f>
        <v>0</v>
      </c>
      <c r="BE263" s="79">
        <f t="shared" ref="BE263:BE292" si="159">SUM(BA263:BD263)</f>
        <v>0</v>
      </c>
      <c r="BF263" s="78">
        <f>AV263</f>
        <v>0.95238095238095233</v>
      </c>
      <c r="BG263" s="78">
        <f>BF263*BE263</f>
        <v>0</v>
      </c>
    </row>
    <row r="264" spans="1:59" s="4" customFormat="1" ht="10.5">
      <c r="A264" s="12"/>
      <c r="B264" s="13">
        <f t="shared" si="152"/>
        <v>2016</v>
      </c>
      <c r="C264" s="78">
        <f t="shared" ref="C264:C292" si="160">G116</f>
        <v>116198.28541225863</v>
      </c>
      <c r="D264" s="78">
        <f t="shared" ref="D264:D292" si="161">H153</f>
        <v>-260931.62698468828</v>
      </c>
      <c r="E264" s="78">
        <f t="shared" ref="E264:E292" si="162">G190</f>
        <v>3945.5643632938722</v>
      </c>
      <c r="F264" s="78">
        <f t="shared" ref="F264:F292" si="163">G227</f>
        <v>2324.1414142743879</v>
      </c>
      <c r="G264" s="79">
        <f t="shared" si="153"/>
        <v>-138463.63579486139</v>
      </c>
      <c r="H264" s="78">
        <f ca="1">Zalozenia!F11</f>
        <v>0.90702947845804982</v>
      </c>
      <c r="I264" s="78">
        <f>H264*G264</f>
        <v>-125590.59936041848</v>
      </c>
      <c r="J264" s="23"/>
      <c r="K264" s="12"/>
      <c r="L264" s="13">
        <f t="shared" ref="L264:L292" si="164">B264</f>
        <v>2016</v>
      </c>
      <c r="M264" s="78">
        <f t="shared" ref="M264:M292" si="165">O116</f>
        <v>463278.03280919965</v>
      </c>
      <c r="N264" s="78">
        <f t="shared" ref="N264:N292" si="166">Q153</f>
        <v>-854450.08631500765</v>
      </c>
      <c r="O264" s="78">
        <f t="shared" ref="O264:O292" si="167">O190</f>
        <v>11725.280615047865</v>
      </c>
      <c r="P264" s="78">
        <f t="shared" ref="P264:P292" si="168">O227</f>
        <v>6906.7965345954472</v>
      </c>
      <c r="Q264" s="79">
        <f t="shared" si="155"/>
        <v>-372539.97635616473</v>
      </c>
      <c r="R264" s="78">
        <f t="shared" ref="R264:R292" si="169">H264</f>
        <v>0.90702947845804982</v>
      </c>
      <c r="S264" s="78">
        <f>R264*Q264</f>
        <v>-337904.74045910628</v>
      </c>
      <c r="U264" s="12"/>
      <c r="V264" s="13">
        <f t="shared" ref="V264:V292" si="170">L264</f>
        <v>2016</v>
      </c>
      <c r="W264" s="78">
        <f t="shared" ref="W264:W292" si="171">W116</f>
        <v>236874.69798892189</v>
      </c>
      <c r="X264" s="78">
        <f t="shared" ref="X264:X292" si="172">Z153</f>
        <v>-450084.38623855909</v>
      </c>
      <c r="Y264" s="78">
        <f t="shared" ref="Y264:Y292" si="173">W190</f>
        <v>7243.5705873897814</v>
      </c>
      <c r="Z264" s="78">
        <f t="shared" ref="Z264:Z292" si="174">W227</f>
        <v>4266.8376027499471</v>
      </c>
      <c r="AA264" s="79">
        <f t="shared" si="156"/>
        <v>-201699.28005949745</v>
      </c>
      <c r="AB264" s="78">
        <f t="shared" ref="AB264:AB292" si="175">R264</f>
        <v>0.90702947845804982</v>
      </c>
      <c r="AC264" s="78">
        <f>AB264*AA264</f>
        <v>-182947.19279773009</v>
      </c>
      <c r="AE264" s="12"/>
      <c r="AF264" s="13">
        <f t="shared" ref="AF264:AF292" si="176">V264</f>
        <v>2016</v>
      </c>
      <c r="AG264" s="78">
        <f t="shared" ref="AG264:AG292" si="177">AE116</f>
        <v>248072.94995628804</v>
      </c>
      <c r="AH264" s="78">
        <f t="shared" ref="AH264:AH292" si="178">AI153</f>
        <v>-465758.18751398538</v>
      </c>
      <c r="AI264" s="78">
        <f t="shared" ref="AI264:AI292" si="179">AE190</f>
        <v>6887.5315922724403</v>
      </c>
      <c r="AJ264" s="78">
        <f t="shared" ref="AJ264:AJ292" si="180">AE227</f>
        <v>4057.1122257298539</v>
      </c>
      <c r="AK264" s="79">
        <f t="shared" si="157"/>
        <v>-206740.59373969503</v>
      </c>
      <c r="AL264" s="78">
        <f t="shared" ref="AL264:AL292" si="181">AB264</f>
        <v>0.90702947845804982</v>
      </c>
      <c r="AM264" s="78">
        <f>AL264*AK264</f>
        <v>-187519.81291582313</v>
      </c>
      <c r="AN264" s="23"/>
      <c r="AO264" s="12"/>
      <c r="AP264" s="13">
        <f t="shared" ref="AP264:AP292" si="182">AF264</f>
        <v>2016</v>
      </c>
      <c r="AQ264" s="78">
        <f t="shared" ref="AQ264:AQ292" si="183">AM116</f>
        <v>299841.62947199977</v>
      </c>
      <c r="AR264" s="78">
        <f t="shared" ref="AR264:AR292" si="184">AR153</f>
        <v>-583846.54111232073</v>
      </c>
      <c r="AS264" s="78">
        <f t="shared" ref="AS264:AS292" si="185">AM190</f>
        <v>9321.0338027251928</v>
      </c>
      <c r="AT264" s="78">
        <f t="shared" ref="AT264:AT292" si="186">AM227</f>
        <v>5490.570851233022</v>
      </c>
      <c r="AU264" s="79">
        <f t="shared" si="158"/>
        <v>-269193.30698636273</v>
      </c>
      <c r="AV264" s="78">
        <f t="shared" ref="AV264:AV292" si="187">AL264</f>
        <v>0.90702947845804982</v>
      </c>
      <c r="AW264" s="78">
        <f>AV264*AU264</f>
        <v>-244166.26484023829</v>
      </c>
      <c r="AY264" s="12"/>
      <c r="AZ264" s="13">
        <f t="shared" ref="AZ264:AZ292" si="188">AP264</f>
        <v>2016</v>
      </c>
      <c r="BA264" s="78">
        <f t="shared" ref="BA264:BA292" si="189">AU116</f>
        <v>0</v>
      </c>
      <c r="BB264" s="78">
        <f t="shared" ref="BB264:BB292" si="190">BA153</f>
        <v>0</v>
      </c>
      <c r="BC264" s="78">
        <f t="shared" ref="BC264:BC292" si="191">AU190</f>
        <v>0</v>
      </c>
      <c r="BD264" s="78">
        <f t="shared" ref="BD264:BD292" si="192">AU227</f>
        <v>0</v>
      </c>
      <c r="BE264" s="79">
        <f t="shared" si="159"/>
        <v>0</v>
      </c>
      <c r="BF264" s="78">
        <f t="shared" ref="BF264:BF292" si="193">AV264</f>
        <v>0.90702947845804982</v>
      </c>
      <c r="BG264" s="78">
        <f>BF264*BE264</f>
        <v>0</v>
      </c>
    </row>
    <row r="265" spans="1:59" s="4" customFormat="1" ht="10.5">
      <c r="A265" s="12"/>
      <c r="B265" s="13">
        <f t="shared" si="152"/>
        <v>2017</v>
      </c>
      <c r="C265" s="78">
        <f t="shared" si="160"/>
        <v>122992.64624162941</v>
      </c>
      <c r="D265" s="78">
        <f t="shared" si="161"/>
        <v>-276340.67109345045</v>
      </c>
      <c r="E265" s="78">
        <f t="shared" si="162"/>
        <v>4271.139327222294</v>
      </c>
      <c r="F265" s="78">
        <f t="shared" si="163"/>
        <v>2457.5878880097553</v>
      </c>
      <c r="G265" s="79">
        <f t="shared" si="153"/>
        <v>-146619.29763658898</v>
      </c>
      <c r="H265" s="78">
        <f ca="1">Zalozenia!F12</f>
        <v>0.86383759853147601</v>
      </c>
      <c r="I265" s="78">
        <f t="shared" si="154"/>
        <v>-126655.26196876274</v>
      </c>
      <c r="K265" s="12"/>
      <c r="L265" s="13">
        <f t="shared" si="164"/>
        <v>2017</v>
      </c>
      <c r="M265" s="78">
        <f t="shared" si="165"/>
        <v>490446.22507775959</v>
      </c>
      <c r="N265" s="78">
        <f t="shared" si="166"/>
        <v>-905086.38368328265</v>
      </c>
      <c r="O265" s="78">
        <f t="shared" si="167"/>
        <v>12694.865793635998</v>
      </c>
      <c r="P265" s="78">
        <f t="shared" si="168"/>
        <v>7304.5494478493329</v>
      </c>
      <c r="Q265" s="79">
        <f t="shared" si="155"/>
        <v>-394640.74336403771</v>
      </c>
      <c r="R265" s="78">
        <f t="shared" si="169"/>
        <v>0.86383759853147601</v>
      </c>
      <c r="S265" s="78">
        <f t="shared" ref="S265:S292" si="194">R265*Q265</f>
        <v>-340905.51203026687</v>
      </c>
      <c r="U265" s="12"/>
      <c r="V265" s="13">
        <f t="shared" si="170"/>
        <v>2017</v>
      </c>
      <c r="W265" s="78">
        <f t="shared" si="171"/>
        <v>249759.50341900295</v>
      </c>
      <c r="X265" s="78">
        <f t="shared" si="172"/>
        <v>-474816.2044181836</v>
      </c>
      <c r="Y265" s="78">
        <f t="shared" si="173"/>
        <v>7811.0825150364217</v>
      </c>
      <c r="Z265" s="78">
        <f t="shared" si="174"/>
        <v>4494.4499138319024</v>
      </c>
      <c r="AA265" s="79">
        <f t="shared" si="156"/>
        <v>-212751.16857031232</v>
      </c>
      <c r="AB265" s="78">
        <f t="shared" si="175"/>
        <v>0.86383759853147601</v>
      </c>
      <c r="AC265" s="78">
        <f t="shared" ref="AC265:AC292" si="195">AB265*AA265</f>
        <v>-183782.45854254384</v>
      </c>
      <c r="AE265" s="12"/>
      <c r="AF265" s="13">
        <f t="shared" si="176"/>
        <v>2017</v>
      </c>
      <c r="AG265" s="78">
        <f t="shared" si="177"/>
        <v>262717.15422803984</v>
      </c>
      <c r="AH265" s="78">
        <f t="shared" si="178"/>
        <v>-493527.94561782246</v>
      </c>
      <c r="AI265" s="78">
        <f t="shared" si="179"/>
        <v>7459.8106557230894</v>
      </c>
      <c r="AJ265" s="78">
        <f t="shared" si="180"/>
        <v>4292.3301980584201</v>
      </c>
      <c r="AK265" s="79">
        <f t="shared" si="157"/>
        <v>-219058.65053600111</v>
      </c>
      <c r="AL265" s="78">
        <f t="shared" si="181"/>
        <v>0.86383759853147601</v>
      </c>
      <c r="AM265" s="78">
        <f t="shared" ref="AM265:AM292" si="196">AL265*AK265</f>
        <v>-189231.09861656502</v>
      </c>
      <c r="AO265" s="12"/>
      <c r="AP265" s="13">
        <f t="shared" si="182"/>
        <v>2017</v>
      </c>
      <c r="AQ265" s="78">
        <f t="shared" si="183"/>
        <v>316138.98562444793</v>
      </c>
      <c r="AR265" s="78">
        <f t="shared" si="184"/>
        <v>-615906.02938015223</v>
      </c>
      <c r="AS265" s="78">
        <f t="shared" si="185"/>
        <v>10050.910122543684</v>
      </c>
      <c r="AT265" s="78">
        <f t="shared" si="186"/>
        <v>5783.2332518878811</v>
      </c>
      <c r="AU265" s="79">
        <f t="shared" si="158"/>
        <v>-283932.90038127272</v>
      </c>
      <c r="AV265" s="78">
        <f t="shared" si="187"/>
        <v>0.86383759853147601</v>
      </c>
      <c r="AW265" s="78">
        <f t="shared" ref="AW265:AW292" si="197">AV265*AU265</f>
        <v>-245271.91480943543</v>
      </c>
      <c r="AY265" s="12"/>
      <c r="AZ265" s="13">
        <f t="shared" si="188"/>
        <v>2017</v>
      </c>
      <c r="BA265" s="78">
        <f t="shared" si="189"/>
        <v>0</v>
      </c>
      <c r="BB265" s="78">
        <f t="shared" si="190"/>
        <v>0</v>
      </c>
      <c r="BC265" s="78">
        <f t="shared" si="191"/>
        <v>0</v>
      </c>
      <c r="BD265" s="78">
        <f t="shared" si="192"/>
        <v>0</v>
      </c>
      <c r="BE265" s="79">
        <f t="shared" si="159"/>
        <v>0</v>
      </c>
      <c r="BF265" s="78">
        <f t="shared" si="193"/>
        <v>0.86383759853147601</v>
      </c>
      <c r="BG265" s="78">
        <f t="shared" ref="BG265:BG292" si="198">BF265*BE265</f>
        <v>0</v>
      </c>
    </row>
    <row r="266" spans="1:59" s="4" customFormat="1" ht="10.5">
      <c r="A266" s="12"/>
      <c r="B266" s="13">
        <f t="shared" si="152"/>
        <v>2018</v>
      </c>
      <c r="C266" s="78">
        <f t="shared" si="160"/>
        <v>130109.35480474752</v>
      </c>
      <c r="D266" s="78">
        <f t="shared" si="161"/>
        <v>-291918.20669893874</v>
      </c>
      <c r="E266" s="78">
        <f t="shared" si="162"/>
        <v>4604.8986151153813</v>
      </c>
      <c r="F266" s="78">
        <f t="shared" si="163"/>
        <v>2598.0700908740273</v>
      </c>
      <c r="G266" s="79">
        <f t="shared" si="153"/>
        <v>-154605.88318820181</v>
      </c>
      <c r="H266" s="78">
        <f ca="1">Zalozenia!F13</f>
        <v>0.82270247479188197</v>
      </c>
      <c r="I266" s="78">
        <f t="shared" si="154"/>
        <v>-127194.64271631825</v>
      </c>
      <c r="K266" s="12"/>
      <c r="L266" s="13">
        <f t="shared" si="164"/>
        <v>2018</v>
      </c>
      <c r="M266" s="78">
        <f t="shared" si="165"/>
        <v>518906.22053543961</v>
      </c>
      <c r="N266" s="78">
        <f t="shared" si="166"/>
        <v>-956323.05678881379</v>
      </c>
      <c r="O266" s="78">
        <f t="shared" si="167"/>
        <v>13689.026097565224</v>
      </c>
      <c r="P266" s="78">
        <f t="shared" si="168"/>
        <v>7723.3077750153843</v>
      </c>
      <c r="Q266" s="79">
        <f t="shared" si="155"/>
        <v>-416004.50238079356</v>
      </c>
      <c r="R266" s="78">
        <f t="shared" si="169"/>
        <v>0.82270247479188197</v>
      </c>
      <c r="S266" s="78">
        <f t="shared" si="194"/>
        <v>-342247.93363324425</v>
      </c>
      <c r="U266" s="12"/>
      <c r="V266" s="13">
        <f t="shared" si="170"/>
        <v>2018</v>
      </c>
      <c r="W266" s="78">
        <f t="shared" si="171"/>
        <v>263220.90284155298</v>
      </c>
      <c r="X266" s="78">
        <f t="shared" si="172"/>
        <v>-499677.65578096558</v>
      </c>
      <c r="Y266" s="78">
        <f t="shared" si="173"/>
        <v>8389.8951706695098</v>
      </c>
      <c r="Z266" s="78">
        <f t="shared" si="174"/>
        <v>4733.5538804123553</v>
      </c>
      <c r="AA266" s="79">
        <f t="shared" si="156"/>
        <v>-223333.30388833073</v>
      </c>
      <c r="AB266" s="78">
        <f t="shared" si="175"/>
        <v>0.82270247479188197</v>
      </c>
      <c r="AC266" s="78">
        <f t="shared" si="195"/>
        <v>-183736.86181237712</v>
      </c>
      <c r="AE266" s="12"/>
      <c r="AF266" s="13">
        <f t="shared" si="176"/>
        <v>2018</v>
      </c>
      <c r="AG266" s="78">
        <f t="shared" si="177"/>
        <v>278061.11939020193</v>
      </c>
      <c r="AH266" s="78">
        <f t="shared" si="178"/>
        <v>-521624.2337898722</v>
      </c>
      <c r="AI266" s="78">
        <f t="shared" si="179"/>
        <v>8046.8628008040923</v>
      </c>
      <c r="AJ266" s="78">
        <f t="shared" si="180"/>
        <v>4540.0160384664796</v>
      </c>
      <c r="AK266" s="79">
        <f t="shared" si="157"/>
        <v>-230976.23556039971</v>
      </c>
      <c r="AL266" s="78">
        <f t="shared" si="181"/>
        <v>0.82270247479188197</v>
      </c>
      <c r="AM266" s="78">
        <f t="shared" si="196"/>
        <v>-190024.72061365354</v>
      </c>
      <c r="AO266" s="12"/>
      <c r="AP266" s="13">
        <f t="shared" si="182"/>
        <v>2018</v>
      </c>
      <c r="AQ266" s="78">
        <f t="shared" si="183"/>
        <v>333165.16283558379</v>
      </c>
      <c r="AR266" s="78">
        <f t="shared" si="184"/>
        <v>-648134.00244666159</v>
      </c>
      <c r="AS266" s="78">
        <f t="shared" si="185"/>
        <v>10795.279076525481</v>
      </c>
      <c r="AT266" s="78">
        <f t="shared" si="186"/>
        <v>6090.6643197955154</v>
      </c>
      <c r="AU266" s="79">
        <f t="shared" si="158"/>
        <v>-298082.89621475682</v>
      </c>
      <c r="AV266" s="78">
        <f t="shared" si="187"/>
        <v>0.82270247479188197</v>
      </c>
      <c r="AW266" s="78">
        <f t="shared" si="197"/>
        <v>-245233.53640901216</v>
      </c>
      <c r="AY266" s="12"/>
      <c r="AZ266" s="13">
        <f t="shared" si="188"/>
        <v>2018</v>
      </c>
      <c r="BA266" s="78">
        <f t="shared" si="189"/>
        <v>0</v>
      </c>
      <c r="BB266" s="78">
        <f t="shared" si="190"/>
        <v>0</v>
      </c>
      <c r="BC266" s="78">
        <f t="shared" si="191"/>
        <v>0</v>
      </c>
      <c r="BD266" s="78">
        <f t="shared" si="192"/>
        <v>0</v>
      </c>
      <c r="BE266" s="79">
        <f t="shared" si="159"/>
        <v>0</v>
      </c>
      <c r="BF266" s="78">
        <f t="shared" si="193"/>
        <v>0.82270247479188197</v>
      </c>
      <c r="BG266" s="78">
        <f t="shared" si="198"/>
        <v>0</v>
      </c>
    </row>
    <row r="267" spans="1:59" s="4" customFormat="1" ht="10.5">
      <c r="A267" s="12"/>
      <c r="B267" s="13">
        <f t="shared" si="152"/>
        <v>2019</v>
      </c>
      <c r="C267" s="78">
        <f t="shared" si="160"/>
        <v>137644.71580651752</v>
      </c>
      <c r="D267" s="78">
        <f t="shared" si="161"/>
        <v>-308300.71741663967</v>
      </c>
      <c r="E267" s="78">
        <f t="shared" si="162"/>
        <v>4946.8288265044457</v>
      </c>
      <c r="F267" s="78">
        <f t="shared" si="163"/>
        <v>2745.9406291334262</v>
      </c>
      <c r="G267" s="79">
        <f t="shared" si="153"/>
        <v>-162963.23215448429</v>
      </c>
      <c r="H267" s="78">
        <f ca="1">Zalozenia!F14</f>
        <v>0.78352616646845896</v>
      </c>
      <c r="I267" s="78">
        <f t="shared" si="154"/>
        <v>-127685.95656531258</v>
      </c>
      <c r="K267" s="12"/>
      <c r="L267" s="13">
        <f t="shared" si="164"/>
        <v>2019</v>
      </c>
      <c r="M267" s="78">
        <f t="shared" si="165"/>
        <v>549042.46923167945</v>
      </c>
      <c r="N267" s="78">
        <f t="shared" si="166"/>
        <v>-1010216.1292841813</v>
      </c>
      <c r="O267" s="78">
        <f t="shared" si="167"/>
        <v>14707.721694233338</v>
      </c>
      <c r="P267" s="78">
        <f t="shared" si="168"/>
        <v>8164.1253373872187</v>
      </c>
      <c r="Q267" s="79">
        <f t="shared" si="155"/>
        <v>-438301.81302088127</v>
      </c>
      <c r="R267" s="78">
        <f t="shared" si="169"/>
        <v>0.78352616646845896</v>
      </c>
      <c r="S267" s="78">
        <f t="shared" si="194"/>
        <v>-343420.93931242637</v>
      </c>
      <c r="U267" s="12"/>
      <c r="V267" s="13">
        <f t="shared" si="170"/>
        <v>2019</v>
      </c>
      <c r="W267" s="78">
        <f t="shared" si="171"/>
        <v>277449.28983702679</v>
      </c>
      <c r="X267" s="78">
        <f t="shared" si="172"/>
        <v>-525768.35168158042</v>
      </c>
      <c r="Y267" s="78">
        <f t="shared" si="173"/>
        <v>8979.984093726187</v>
      </c>
      <c r="Z267" s="78">
        <f t="shared" si="174"/>
        <v>4984.709201947253</v>
      </c>
      <c r="AA267" s="79">
        <f t="shared" si="156"/>
        <v>-234354.36854888019</v>
      </c>
      <c r="AB267" s="78">
        <f t="shared" si="175"/>
        <v>0.78352616646845896</v>
      </c>
      <c r="AC267" s="78">
        <f t="shared" si="195"/>
        <v>-183622.77998424048</v>
      </c>
      <c r="AE267" s="12"/>
      <c r="AF267" s="13">
        <f t="shared" si="176"/>
        <v>2019</v>
      </c>
      <c r="AG267" s="78">
        <f t="shared" si="177"/>
        <v>294311.29956611997</v>
      </c>
      <c r="AH267" s="78">
        <f t="shared" si="178"/>
        <v>-551180.67010821705</v>
      </c>
      <c r="AI267" s="78">
        <f t="shared" si="179"/>
        <v>8648.6646167208564</v>
      </c>
      <c r="AJ267" s="78">
        <f t="shared" si="180"/>
        <v>4800.7967107250643</v>
      </c>
      <c r="AK267" s="79">
        <f t="shared" si="157"/>
        <v>-243419.90921465115</v>
      </c>
      <c r="AL267" s="78">
        <f t="shared" si="181"/>
        <v>0.78352616646845896</v>
      </c>
      <c r="AM267" s="78">
        <f t="shared" si="196"/>
        <v>-190725.86830905592</v>
      </c>
      <c r="AO267" s="12"/>
      <c r="AP267" s="13">
        <f t="shared" si="182"/>
        <v>2019</v>
      </c>
      <c r="AQ267" s="78">
        <f t="shared" si="183"/>
        <v>351161.08888435172</v>
      </c>
      <c r="AR267" s="78">
        <f t="shared" si="184"/>
        <v>-681954.92461712228</v>
      </c>
      <c r="AS267" s="78">
        <f t="shared" si="185"/>
        <v>11554.109190655468</v>
      </c>
      <c r="AT267" s="78">
        <f t="shared" si="186"/>
        <v>6413.5831201751544</v>
      </c>
      <c r="AU267" s="79">
        <f t="shared" si="158"/>
        <v>-312826.14342193992</v>
      </c>
      <c r="AV267" s="78">
        <f t="shared" si="187"/>
        <v>0.78352616646845896</v>
      </c>
      <c r="AW267" s="78">
        <f t="shared" si="197"/>
        <v>-245107.46892650492</v>
      </c>
      <c r="AY267" s="12"/>
      <c r="AZ267" s="13">
        <f t="shared" si="188"/>
        <v>2019</v>
      </c>
      <c r="BA267" s="78">
        <f t="shared" si="189"/>
        <v>0</v>
      </c>
      <c r="BB267" s="78">
        <f t="shared" si="190"/>
        <v>0</v>
      </c>
      <c r="BC267" s="78">
        <f t="shared" si="191"/>
        <v>0</v>
      </c>
      <c r="BD267" s="78">
        <f t="shared" si="192"/>
        <v>0</v>
      </c>
      <c r="BE267" s="79">
        <f t="shared" si="159"/>
        <v>0</v>
      </c>
      <c r="BF267" s="78">
        <f t="shared" si="193"/>
        <v>0.78352616646845896</v>
      </c>
      <c r="BG267" s="78">
        <f t="shared" si="198"/>
        <v>0</v>
      </c>
    </row>
    <row r="268" spans="1:59" s="4" customFormat="1" ht="10.5">
      <c r="A268" s="12"/>
      <c r="B268" s="13">
        <f t="shared" si="152"/>
        <v>2020</v>
      </c>
      <c r="C268" s="78">
        <f t="shared" si="160"/>
        <v>143908.37960499077</v>
      </c>
      <c r="D268" s="78">
        <f t="shared" si="161"/>
        <v>-326759.00795977487</v>
      </c>
      <c r="E268" s="78">
        <f t="shared" si="162"/>
        <v>5296.9157351052891</v>
      </c>
      <c r="F268" s="78">
        <f t="shared" si="163"/>
        <v>2901.5691957073359</v>
      </c>
      <c r="G268" s="79">
        <f t="shared" si="153"/>
        <v>-174652.14342397149</v>
      </c>
      <c r="H268" s="78">
        <f ca="1">Zalozenia!F15</f>
        <v>0.74621539663662761</v>
      </c>
      <c r="I268" s="78">
        <f t="shared" si="154"/>
        <v>-130328.11847855606</v>
      </c>
      <c r="K268" s="12"/>
      <c r="L268" s="13">
        <f t="shared" si="164"/>
        <v>2020</v>
      </c>
      <c r="M268" s="78">
        <f t="shared" si="165"/>
        <v>574111.90355687938</v>
      </c>
      <c r="N268" s="78">
        <f t="shared" si="166"/>
        <v>-1070557.7377661227</v>
      </c>
      <c r="O268" s="78">
        <f t="shared" si="167"/>
        <v>15750.910271335852</v>
      </c>
      <c r="P268" s="78">
        <f t="shared" si="168"/>
        <v>8628.1070595037418</v>
      </c>
      <c r="Q268" s="79">
        <f t="shared" si="155"/>
        <v>-472066.81687840371</v>
      </c>
      <c r="R268" s="78">
        <f t="shared" si="169"/>
        <v>0.74621539663662761</v>
      </c>
      <c r="S268" s="78">
        <f t="shared" si="194"/>
        <v>-352263.52699590829</v>
      </c>
      <c r="U268" s="12"/>
      <c r="V268" s="13">
        <f t="shared" si="170"/>
        <v>2020</v>
      </c>
      <c r="W268" s="78">
        <f t="shared" si="171"/>
        <v>289043.97467563773</v>
      </c>
      <c r="X268" s="78">
        <f t="shared" si="172"/>
        <v>-555374.10041305469</v>
      </c>
      <c r="Y268" s="78">
        <f t="shared" si="173"/>
        <v>9581.3236836771757</v>
      </c>
      <c r="Z268" s="78">
        <f t="shared" si="174"/>
        <v>5248.5021557750388</v>
      </c>
      <c r="AA268" s="79">
        <f t="shared" si="156"/>
        <v>-251500.29989796475</v>
      </c>
      <c r="AB268" s="78">
        <f t="shared" si="175"/>
        <v>0.74621539663662761</v>
      </c>
      <c r="AC268" s="78">
        <f t="shared" si="195"/>
        <v>-187673.39604259055</v>
      </c>
      <c r="AE268" s="12"/>
      <c r="AF268" s="13">
        <f t="shared" si="176"/>
        <v>2020</v>
      </c>
      <c r="AG268" s="78">
        <f t="shared" si="177"/>
        <v>307852.45752666844</v>
      </c>
      <c r="AH268" s="78">
        <f t="shared" si="178"/>
        <v>-584422.9329400959</v>
      </c>
      <c r="AI268" s="78">
        <f t="shared" si="179"/>
        <v>9265.1912020045256</v>
      </c>
      <c r="AJ268" s="78">
        <f t="shared" si="180"/>
        <v>5075.3296311481881</v>
      </c>
      <c r="AK268" s="79">
        <f t="shared" si="157"/>
        <v>-262229.95458027476</v>
      </c>
      <c r="AL268" s="78">
        <f t="shared" si="181"/>
        <v>0.74621539663662761</v>
      </c>
      <c r="AM268" s="78">
        <f t="shared" si="196"/>
        <v>-195680.02956712458</v>
      </c>
      <c r="AO268" s="12"/>
      <c r="AP268" s="13">
        <f t="shared" si="182"/>
        <v>2020</v>
      </c>
      <c r="AQ268" s="78">
        <f t="shared" si="183"/>
        <v>365822.67595161573</v>
      </c>
      <c r="AR268" s="78">
        <f t="shared" si="184"/>
        <v>-720310.2567400944</v>
      </c>
      <c r="AS268" s="78">
        <f t="shared" si="185"/>
        <v>12327.367528972311</v>
      </c>
      <c r="AT268" s="78">
        <f t="shared" si="186"/>
        <v>6752.7428554643466</v>
      </c>
      <c r="AU268" s="79">
        <f t="shared" si="158"/>
        <v>-335407.47040404199</v>
      </c>
      <c r="AV268" s="78">
        <f t="shared" si="187"/>
        <v>0.74621539663662761</v>
      </c>
      <c r="AW268" s="78">
        <f t="shared" si="197"/>
        <v>-250286.21856244013</v>
      </c>
      <c r="AY268" s="12"/>
      <c r="AZ268" s="13">
        <f t="shared" si="188"/>
        <v>2020</v>
      </c>
      <c r="BA268" s="78">
        <f t="shared" si="189"/>
        <v>0</v>
      </c>
      <c r="BB268" s="78">
        <f t="shared" si="190"/>
        <v>0</v>
      </c>
      <c r="BC268" s="78">
        <f t="shared" si="191"/>
        <v>0</v>
      </c>
      <c r="BD268" s="78">
        <f t="shared" si="192"/>
        <v>0</v>
      </c>
      <c r="BE268" s="79">
        <f t="shared" si="159"/>
        <v>0</v>
      </c>
      <c r="BF268" s="78">
        <f t="shared" si="193"/>
        <v>0.74621539663662761</v>
      </c>
      <c r="BG268" s="78">
        <f t="shared" si="198"/>
        <v>0</v>
      </c>
    </row>
    <row r="269" spans="1:59" s="4" customFormat="1" ht="10.5">
      <c r="A269" s="12"/>
      <c r="B269" s="13">
        <f t="shared" si="152"/>
        <v>2021</v>
      </c>
      <c r="C269" s="78">
        <f t="shared" si="160"/>
        <v>150325.72122960078</v>
      </c>
      <c r="D269" s="78">
        <f t="shared" si="161"/>
        <v>-346227.05552243453</v>
      </c>
      <c r="E269" s="78">
        <f t="shared" si="162"/>
        <v>5655.2003197937129</v>
      </c>
      <c r="F269" s="78">
        <f t="shared" si="163"/>
        <v>3065.3433785427333</v>
      </c>
      <c r="G269" s="79">
        <f t="shared" si="153"/>
        <v>-187180.79059449729</v>
      </c>
      <c r="H269" s="78">
        <f ca="1">Zalozenia!F16</f>
        <v>0.71068133013012147</v>
      </c>
      <c r="I269" s="78">
        <f t="shared" si="154"/>
        <v>-133025.89323450506</v>
      </c>
      <c r="K269" s="12"/>
      <c r="L269" s="13">
        <f t="shared" si="164"/>
        <v>2021</v>
      </c>
      <c r="M269" s="78">
        <f t="shared" si="165"/>
        <v>599799.30083999957</v>
      </c>
      <c r="N269" s="78">
        <f t="shared" si="166"/>
        <v>-1134192.9754979319</v>
      </c>
      <c r="O269" s="78">
        <f t="shared" si="167"/>
        <v>16818.713674452738</v>
      </c>
      <c r="P269" s="78">
        <f t="shared" si="168"/>
        <v>9116.4113881416706</v>
      </c>
      <c r="Q269" s="79">
        <f t="shared" si="155"/>
        <v>-508458.54959533794</v>
      </c>
      <c r="R269" s="78">
        <f t="shared" si="169"/>
        <v>0.71068133013012147</v>
      </c>
      <c r="S269" s="78">
        <f t="shared" si="194"/>
        <v>-361351.9983424471</v>
      </c>
      <c r="U269" s="12"/>
      <c r="V269" s="13">
        <f t="shared" si="170"/>
        <v>2021</v>
      </c>
      <c r="W269" s="78">
        <f t="shared" si="171"/>
        <v>300887.96640389966</v>
      </c>
      <c r="X269" s="78">
        <f t="shared" si="172"/>
        <v>-586536.87155845005</v>
      </c>
      <c r="Y269" s="78">
        <f t="shared" si="173"/>
        <v>10193.988200711261</v>
      </c>
      <c r="Z269" s="78">
        <f t="shared" si="174"/>
        <v>5525.5468356482324</v>
      </c>
      <c r="AA269" s="79">
        <f t="shared" si="156"/>
        <v>-269929.37011819088</v>
      </c>
      <c r="AB269" s="78">
        <f t="shared" si="175"/>
        <v>0.71068133013012147</v>
      </c>
      <c r="AC269" s="78">
        <f t="shared" si="195"/>
        <v>-191833.76379678177</v>
      </c>
      <c r="AE269" s="12"/>
      <c r="AF269" s="13">
        <f t="shared" si="176"/>
        <v>2021</v>
      </c>
      <c r="AG269" s="78">
        <f t="shared" si="177"/>
        <v>321730.90131195262</v>
      </c>
      <c r="AH269" s="78">
        <f t="shared" si="178"/>
        <v>-619491.45685544284</v>
      </c>
      <c r="AI269" s="78">
        <f t="shared" si="179"/>
        <v>9896.5142178636288</v>
      </c>
      <c r="AJ269" s="78">
        <f t="shared" si="180"/>
        <v>5364.30411177528</v>
      </c>
      <c r="AK269" s="79">
        <f t="shared" si="157"/>
        <v>-282499.7372138513</v>
      </c>
      <c r="AL269" s="78">
        <f t="shared" si="181"/>
        <v>0.71068133013012147</v>
      </c>
      <c r="AM269" s="78">
        <f t="shared" si="196"/>
        <v>-200767.28900454962</v>
      </c>
      <c r="AO269" s="12"/>
      <c r="AP269" s="13">
        <f t="shared" si="182"/>
        <v>2021</v>
      </c>
      <c r="AQ269" s="78">
        <f t="shared" si="183"/>
        <v>380799.0111599997</v>
      </c>
      <c r="AR269" s="78">
        <f t="shared" si="184"/>
        <v>-760681.12811970036</v>
      </c>
      <c r="AS269" s="78">
        <f t="shared" si="185"/>
        <v>13115.149636733388</v>
      </c>
      <c r="AT269" s="78">
        <f t="shared" si="186"/>
        <v>7108.9324558222379</v>
      </c>
      <c r="AU269" s="79">
        <f t="shared" si="158"/>
        <v>-359658.034867145</v>
      </c>
      <c r="AV269" s="78">
        <f t="shared" si="187"/>
        <v>0.71068133013012147</v>
      </c>
      <c r="AW269" s="78">
        <f t="shared" si="197"/>
        <v>-255602.25061136822</v>
      </c>
      <c r="AY269" s="12"/>
      <c r="AZ269" s="13">
        <f t="shared" si="188"/>
        <v>2021</v>
      </c>
      <c r="BA269" s="78">
        <f t="shared" si="189"/>
        <v>0</v>
      </c>
      <c r="BB269" s="78">
        <f t="shared" si="190"/>
        <v>0</v>
      </c>
      <c r="BC269" s="78">
        <f t="shared" si="191"/>
        <v>0</v>
      </c>
      <c r="BD269" s="78">
        <f t="shared" si="192"/>
        <v>0</v>
      </c>
      <c r="BE269" s="79">
        <f t="shared" si="159"/>
        <v>0</v>
      </c>
      <c r="BF269" s="78">
        <f t="shared" si="193"/>
        <v>0.71068133013012147</v>
      </c>
      <c r="BG269" s="78">
        <f t="shared" si="198"/>
        <v>0</v>
      </c>
    </row>
    <row r="270" spans="1:59" s="4" customFormat="1" ht="10.5">
      <c r="A270" s="12"/>
      <c r="B270" s="13">
        <f t="shared" si="152"/>
        <v>2022</v>
      </c>
      <c r="C270" s="78">
        <f t="shared" si="160"/>
        <v>157046.83015444997</v>
      </c>
      <c r="D270" s="78">
        <f t="shared" si="161"/>
        <v>-366756.75289605017</v>
      </c>
      <c r="E270" s="78">
        <f t="shared" si="162"/>
        <v>6021.6629311098177</v>
      </c>
      <c r="F270" s="78">
        <f t="shared" si="163"/>
        <v>3237.6695065526492</v>
      </c>
      <c r="G270" s="79">
        <f t="shared" si="153"/>
        <v>-200450.59030393773</v>
      </c>
      <c r="H270" s="78">
        <f ca="1">Zalozenia!F17</f>
        <v>0.67683936202868722</v>
      </c>
      <c r="I270" s="78">
        <f t="shared" si="154"/>
        <v>-135672.84965959098</v>
      </c>
      <c r="K270" s="12"/>
      <c r="L270" s="13">
        <f t="shared" si="164"/>
        <v>2022</v>
      </c>
      <c r="M270" s="78">
        <f t="shared" si="165"/>
        <v>626703.64986023959</v>
      </c>
      <c r="N270" s="78">
        <f t="shared" si="166"/>
        <v>-1201290.8609503952</v>
      </c>
      <c r="O270" s="78">
        <f t="shared" si="167"/>
        <v>17911.073483161759</v>
      </c>
      <c r="P270" s="78">
        <f t="shared" si="168"/>
        <v>9630.2528237608822</v>
      </c>
      <c r="Q270" s="79">
        <f t="shared" si="155"/>
        <v>-547045.88478323305</v>
      </c>
      <c r="R270" s="78">
        <f t="shared" si="169"/>
        <v>0.67683936202868722</v>
      </c>
      <c r="S270" s="78">
        <f t="shared" si="194"/>
        <v>-370262.18765710219</v>
      </c>
      <c r="U270" s="12"/>
      <c r="V270" s="13">
        <f t="shared" si="170"/>
        <v>2022</v>
      </c>
      <c r="W270" s="78">
        <f t="shared" si="171"/>
        <v>313280.07210677851</v>
      </c>
      <c r="X270" s="78">
        <f t="shared" si="172"/>
        <v>-619334.57204544777</v>
      </c>
      <c r="Y270" s="78">
        <f t="shared" si="173"/>
        <v>10817.941966344179</v>
      </c>
      <c r="Z270" s="78">
        <f t="shared" si="174"/>
        <v>5816.4864471471674</v>
      </c>
      <c r="AA270" s="79">
        <f t="shared" si="156"/>
        <v>-289420.07152517792</v>
      </c>
      <c r="AB270" s="78">
        <f t="shared" si="175"/>
        <v>0.67683936202868722</v>
      </c>
      <c r="AC270" s="78">
        <f t="shared" si="195"/>
        <v>-195890.89656939844</v>
      </c>
      <c r="AE270" s="12"/>
      <c r="AF270" s="13">
        <f t="shared" si="176"/>
        <v>2022</v>
      </c>
      <c r="AG270" s="78">
        <f t="shared" si="177"/>
        <v>336268.08739195112</v>
      </c>
      <c r="AH270" s="78">
        <f t="shared" si="178"/>
        <v>-656480.35565694293</v>
      </c>
      <c r="AI270" s="78">
        <f t="shared" si="179"/>
        <v>10542.599311804073</v>
      </c>
      <c r="AJ270" s="78">
        <f t="shared" si="180"/>
        <v>5668.4428707038333</v>
      </c>
      <c r="AK270" s="79">
        <f t="shared" si="157"/>
        <v>-304001.22608248395</v>
      </c>
      <c r="AL270" s="78">
        <f t="shared" si="181"/>
        <v>0.67683936202868722</v>
      </c>
      <c r="AM270" s="78">
        <f t="shared" si="196"/>
        <v>-205759.99591760716</v>
      </c>
      <c r="AO270" s="12"/>
      <c r="AP270" s="13">
        <f t="shared" si="182"/>
        <v>2022</v>
      </c>
      <c r="AQ270" s="78">
        <f t="shared" si="183"/>
        <v>396468.2387301118</v>
      </c>
      <c r="AR270" s="78">
        <f t="shared" si="184"/>
        <v>-803168.33258703048</v>
      </c>
      <c r="AS270" s="78">
        <f t="shared" si="185"/>
        <v>13917.409608049231</v>
      </c>
      <c r="AT270" s="78">
        <f t="shared" si="186"/>
        <v>7482.9782426694392</v>
      </c>
      <c r="AU270" s="79">
        <f t="shared" si="158"/>
        <v>-385299.70600619999</v>
      </c>
      <c r="AV270" s="78">
        <f t="shared" si="187"/>
        <v>0.67683936202868722</v>
      </c>
      <c r="AW270" s="78">
        <f t="shared" si="197"/>
        <v>-260786.00720307714</v>
      </c>
      <c r="AY270" s="12"/>
      <c r="AZ270" s="13">
        <f t="shared" si="188"/>
        <v>2022</v>
      </c>
      <c r="BA270" s="78">
        <f t="shared" si="189"/>
        <v>0</v>
      </c>
      <c r="BB270" s="78">
        <f t="shared" si="190"/>
        <v>0</v>
      </c>
      <c r="BC270" s="78">
        <f t="shared" si="191"/>
        <v>0</v>
      </c>
      <c r="BD270" s="78">
        <f t="shared" si="192"/>
        <v>0</v>
      </c>
      <c r="BE270" s="79">
        <f t="shared" si="159"/>
        <v>0</v>
      </c>
      <c r="BF270" s="78">
        <f t="shared" si="193"/>
        <v>0.67683936202868722</v>
      </c>
      <c r="BG270" s="78">
        <f t="shared" si="198"/>
        <v>0</v>
      </c>
    </row>
    <row r="271" spans="1:59" s="4" customFormat="1" ht="10.5">
      <c r="A271" s="12"/>
      <c r="B271" s="13">
        <f t="shared" si="152"/>
        <v>2023</v>
      </c>
      <c r="C271" s="78">
        <f t="shared" si="160"/>
        <v>164045.88062074891</v>
      </c>
      <c r="D271" s="78">
        <f t="shared" si="161"/>
        <v>-388402.5477153245</v>
      </c>
      <c r="E271" s="78">
        <f t="shared" si="162"/>
        <v>6396.3045387595839</v>
      </c>
      <c r="F271" s="78">
        <f t="shared" si="163"/>
        <v>3418.9735348400473</v>
      </c>
      <c r="G271" s="79">
        <f t="shared" si="153"/>
        <v>-214541.38902097597</v>
      </c>
      <c r="H271" s="78">
        <f ca="1">Zalozenia!F18</f>
        <v>0.64460891621779726</v>
      </c>
      <c r="I271" s="78">
        <f t="shared" si="154"/>
        <v>-138295.29226067214</v>
      </c>
      <c r="K271" s="12"/>
      <c r="L271" s="13">
        <f t="shared" si="164"/>
        <v>2023</v>
      </c>
      <c r="M271" s="78">
        <f t="shared" si="165"/>
        <v>654722.16643439943</v>
      </c>
      <c r="N271" s="78">
        <f t="shared" si="166"/>
        <v>-1272028.7269047739</v>
      </c>
      <c r="O271" s="78">
        <f t="shared" si="167"/>
        <v>19027.992582748728</v>
      </c>
      <c r="P271" s="78">
        <f t="shared" si="168"/>
        <v>10170.904569557406</v>
      </c>
      <c r="Q271" s="79">
        <f t="shared" si="155"/>
        <v>-588107.66331806825</v>
      </c>
      <c r="R271" s="78">
        <f t="shared" si="169"/>
        <v>0.64460891621779726</v>
      </c>
      <c r="S271" s="78">
        <f t="shared" si="194"/>
        <v>-379099.44347084116</v>
      </c>
      <c r="U271" s="12"/>
      <c r="V271" s="13">
        <f t="shared" si="170"/>
        <v>2023</v>
      </c>
      <c r="W271" s="78">
        <f t="shared" si="171"/>
        <v>326165.42826835171</v>
      </c>
      <c r="X271" s="78">
        <f t="shared" si="172"/>
        <v>-653848.87150302751</v>
      </c>
      <c r="Y271" s="78">
        <f t="shared" si="173"/>
        <v>11453.186708628766</v>
      </c>
      <c r="Z271" s="78">
        <f t="shared" si="174"/>
        <v>6121.9946625582907</v>
      </c>
      <c r="AA271" s="79">
        <f t="shared" si="156"/>
        <v>-310108.2618634887</v>
      </c>
      <c r="AB271" s="78">
        <f t="shared" si="175"/>
        <v>0.64460891621779726</v>
      </c>
      <c r="AC271" s="78">
        <f t="shared" si="195"/>
        <v>-199898.55059000832</v>
      </c>
      <c r="AE271" s="12"/>
      <c r="AF271" s="13">
        <f t="shared" si="176"/>
        <v>2023</v>
      </c>
      <c r="AG271" s="78">
        <f t="shared" si="177"/>
        <v>351409.19878560893</v>
      </c>
      <c r="AH271" s="78">
        <f t="shared" si="178"/>
        <v>-695488.38573470479</v>
      </c>
      <c r="AI271" s="78">
        <f t="shared" si="179"/>
        <v>11203.448183397604</v>
      </c>
      <c r="AJ271" s="78">
        <f t="shared" si="180"/>
        <v>5988.5036126526338</v>
      </c>
      <c r="AK271" s="79">
        <f t="shared" si="157"/>
        <v>-326887.23515304562</v>
      </c>
      <c r="AL271" s="78">
        <f t="shared" si="181"/>
        <v>0.64460891621779726</v>
      </c>
      <c r="AM271" s="78">
        <f t="shared" si="196"/>
        <v>-210714.42637743696</v>
      </c>
      <c r="AO271" s="12"/>
      <c r="AP271" s="13">
        <f t="shared" si="182"/>
        <v>2023</v>
      </c>
      <c r="AQ271" s="78">
        <f t="shared" si="183"/>
        <v>412760.88234143972</v>
      </c>
      <c r="AR271" s="78">
        <f t="shared" si="184"/>
        <v>-847877.53021194506</v>
      </c>
      <c r="AS271" s="78">
        <f t="shared" si="185"/>
        <v>14734.149665890982</v>
      </c>
      <c r="AT271" s="78">
        <f t="shared" si="186"/>
        <v>7875.7456685798752</v>
      </c>
      <c r="AU271" s="79">
        <f t="shared" si="158"/>
        <v>-412506.7525360345</v>
      </c>
      <c r="AV271" s="78">
        <f t="shared" si="187"/>
        <v>0.64460891621779726</v>
      </c>
      <c r="AW271" s="78">
        <f t="shared" si="197"/>
        <v>-265905.53068477631</v>
      </c>
      <c r="AY271" s="12"/>
      <c r="AZ271" s="13">
        <f t="shared" si="188"/>
        <v>2023</v>
      </c>
      <c r="BA271" s="78">
        <f t="shared" si="189"/>
        <v>0</v>
      </c>
      <c r="BB271" s="78">
        <f t="shared" si="190"/>
        <v>0</v>
      </c>
      <c r="BC271" s="78">
        <f t="shared" si="191"/>
        <v>0</v>
      </c>
      <c r="BD271" s="78">
        <f t="shared" si="192"/>
        <v>0</v>
      </c>
      <c r="BE271" s="79">
        <f t="shared" si="159"/>
        <v>0</v>
      </c>
      <c r="BF271" s="78">
        <f t="shared" si="193"/>
        <v>0.64460891621779726</v>
      </c>
      <c r="BG271" s="78">
        <f t="shared" si="198"/>
        <v>0</v>
      </c>
    </row>
    <row r="272" spans="1:59" s="4" customFormat="1" ht="10.5">
      <c r="A272" s="12"/>
      <c r="B272" s="13">
        <f t="shared" si="152"/>
        <v>2024</v>
      </c>
      <c r="C272" s="78">
        <f t="shared" si="160"/>
        <v>171404.0058446613</v>
      </c>
      <c r="D272" s="78">
        <f t="shared" si="161"/>
        <v>-411221.5644997044</v>
      </c>
      <c r="E272" s="78">
        <f t="shared" si="162"/>
        <v>6779.1296857469415</v>
      </c>
      <c r="F272" s="78">
        <f t="shared" si="163"/>
        <v>3609.7019710064969</v>
      </c>
      <c r="G272" s="79">
        <f t="shared" si="153"/>
        <v>-229428.72699828967</v>
      </c>
      <c r="H272" s="78">
        <f ca="1">Zalozenia!F19</f>
        <v>0.61391325354075932</v>
      </c>
      <c r="I272" s="78">
        <f t="shared" si="154"/>
        <v>-140849.33624723466</v>
      </c>
      <c r="K272" s="12"/>
      <c r="L272" s="13">
        <f t="shared" si="164"/>
        <v>2024</v>
      </c>
      <c r="M272" s="78">
        <f t="shared" si="165"/>
        <v>684178.93520423956</v>
      </c>
      <c r="N272" s="78">
        <f t="shared" si="166"/>
        <v>-1346592.6174410996</v>
      </c>
      <c r="O272" s="78">
        <f t="shared" si="167"/>
        <v>20169.484491373729</v>
      </c>
      <c r="P272" s="78">
        <f t="shared" si="168"/>
        <v>10739.701303512502</v>
      </c>
      <c r="Q272" s="79">
        <f t="shared" si="155"/>
        <v>-631504.49644197372</v>
      </c>
      <c r="R272" s="78">
        <f t="shared" si="169"/>
        <v>0.61391325354075932</v>
      </c>
      <c r="S272" s="78">
        <f t="shared" si="194"/>
        <v>-387688.98003631097</v>
      </c>
      <c r="U272" s="12"/>
      <c r="V272" s="13">
        <f t="shared" si="170"/>
        <v>2024</v>
      </c>
      <c r="W272" s="78">
        <f t="shared" si="171"/>
        <v>339702.00693419127</v>
      </c>
      <c r="X272" s="78">
        <f t="shared" si="172"/>
        <v>-690165.37942685443</v>
      </c>
      <c r="Y272" s="78">
        <f t="shared" si="173"/>
        <v>12099.730511603197</v>
      </c>
      <c r="Z272" s="78">
        <f t="shared" si="174"/>
        <v>6442.7770379154726</v>
      </c>
      <c r="AA272" s="79">
        <f t="shared" si="156"/>
        <v>-331920.86494314449</v>
      </c>
      <c r="AB272" s="78">
        <f t="shared" si="175"/>
        <v>0.61391325354075932</v>
      </c>
      <c r="AC272" s="78">
        <f t="shared" si="195"/>
        <v>-203770.61811530881</v>
      </c>
      <c r="AE272" s="12"/>
      <c r="AF272" s="13">
        <f t="shared" si="176"/>
        <v>2024</v>
      </c>
      <c r="AG272" s="78">
        <f t="shared" si="177"/>
        <v>367328.51462366583</v>
      </c>
      <c r="AH272" s="78">
        <f t="shared" si="178"/>
        <v>-736619.16816275229</v>
      </c>
      <c r="AI272" s="78">
        <f t="shared" si="179"/>
        <v>11879.06879655364</v>
      </c>
      <c r="AJ272" s="78">
        <f t="shared" si="180"/>
        <v>6325.2806829755827</v>
      </c>
      <c r="AK272" s="79">
        <f t="shared" si="157"/>
        <v>-351086.30405955721</v>
      </c>
      <c r="AL272" s="78">
        <f t="shared" si="181"/>
        <v>0.61391325354075932</v>
      </c>
      <c r="AM272" s="78">
        <f t="shared" si="196"/>
        <v>-215536.53519880306</v>
      </c>
      <c r="AO272" s="12"/>
      <c r="AP272" s="13">
        <f t="shared" si="182"/>
        <v>2024</v>
      </c>
      <c r="AQ272" s="78">
        <f t="shared" si="183"/>
        <v>429876.81042969582</v>
      </c>
      <c r="AR272" s="78">
        <f t="shared" si="184"/>
        <v>-894919.47636669979</v>
      </c>
      <c r="AS272" s="78">
        <f t="shared" si="185"/>
        <v>15565.380209423851</v>
      </c>
      <c r="AT272" s="78">
        <f t="shared" si="186"/>
        <v>8288.1411369890393</v>
      </c>
      <c r="AU272" s="79">
        <f t="shared" si="158"/>
        <v>-441189.14459059108</v>
      </c>
      <c r="AV272" s="78">
        <f t="shared" si="187"/>
        <v>0.61391325354075932</v>
      </c>
      <c r="AW272" s="78">
        <f t="shared" si="197"/>
        <v>-270851.86318247428</v>
      </c>
      <c r="AY272" s="12"/>
      <c r="AZ272" s="13">
        <f t="shared" si="188"/>
        <v>2024</v>
      </c>
      <c r="BA272" s="78">
        <f t="shared" si="189"/>
        <v>0</v>
      </c>
      <c r="BB272" s="78">
        <f t="shared" si="190"/>
        <v>0</v>
      </c>
      <c r="BC272" s="78">
        <f t="shared" si="191"/>
        <v>0</v>
      </c>
      <c r="BD272" s="78">
        <f t="shared" si="192"/>
        <v>0</v>
      </c>
      <c r="BE272" s="79">
        <f t="shared" si="159"/>
        <v>0</v>
      </c>
      <c r="BF272" s="78">
        <f t="shared" si="193"/>
        <v>0.61391325354075932</v>
      </c>
      <c r="BG272" s="78">
        <f t="shared" si="198"/>
        <v>0</v>
      </c>
    </row>
    <row r="273" spans="1:59" s="4" customFormat="1" ht="10.5">
      <c r="A273" s="12"/>
      <c r="B273" s="13">
        <f t="shared" si="152"/>
        <v>2025</v>
      </c>
      <c r="C273" s="78">
        <f t="shared" si="160"/>
        <v>138717.68945867929</v>
      </c>
      <c r="D273" s="78">
        <f t="shared" si="161"/>
        <v>-497455.69416939572</v>
      </c>
      <c r="E273" s="78">
        <f t="shared" si="162"/>
        <v>8194.3996556697439</v>
      </c>
      <c r="F273" s="78">
        <f t="shared" si="163"/>
        <v>4354.654679344605</v>
      </c>
      <c r="G273" s="79">
        <f t="shared" si="153"/>
        <v>-346188.95037570206</v>
      </c>
      <c r="H273" s="78">
        <f ca="1">Zalozenia!F20</f>
        <v>0.5846792890864374</v>
      </c>
      <c r="I273" s="78">
        <f t="shared" si="154"/>
        <v>-202409.50939524543</v>
      </c>
      <c r="K273" s="12"/>
      <c r="L273" s="13">
        <f t="shared" si="164"/>
        <v>2025</v>
      </c>
      <c r="M273" s="78">
        <f t="shared" si="165"/>
        <v>531829.86496200156</v>
      </c>
      <c r="N273" s="78">
        <f t="shared" si="166"/>
        <v>-1628774.518257462</v>
      </c>
      <c r="O273" s="78">
        <f t="shared" si="167"/>
        <v>24383.353301572384</v>
      </c>
      <c r="P273" s="78">
        <f t="shared" si="168"/>
        <v>12957.762376080558</v>
      </c>
      <c r="Q273" s="79">
        <f t="shared" si="155"/>
        <v>-1059603.5376178075</v>
      </c>
      <c r="R273" s="78">
        <f t="shared" si="169"/>
        <v>0.5846792890864374</v>
      </c>
      <c r="S273" s="78">
        <f t="shared" si="194"/>
        <v>-619528.24308785377</v>
      </c>
      <c r="U273" s="12"/>
      <c r="V273" s="13">
        <f t="shared" si="170"/>
        <v>2025</v>
      </c>
      <c r="W273" s="78">
        <f t="shared" si="171"/>
        <v>273357.71254278166</v>
      </c>
      <c r="X273" s="78">
        <f t="shared" si="172"/>
        <v>-832427.23489324632</v>
      </c>
      <c r="Y273" s="78">
        <f t="shared" si="173"/>
        <v>14580.0051037868</v>
      </c>
      <c r="Z273" s="78">
        <f t="shared" si="174"/>
        <v>7748.082851456209</v>
      </c>
      <c r="AA273" s="79">
        <f t="shared" si="156"/>
        <v>-536741.43439522164</v>
      </c>
      <c r="AB273" s="78">
        <f t="shared" si="175"/>
        <v>0.5846792890864374</v>
      </c>
      <c r="AC273" s="78">
        <f t="shared" si="195"/>
        <v>-313821.60028543288</v>
      </c>
      <c r="AE273" s="12"/>
      <c r="AF273" s="13">
        <f t="shared" si="176"/>
        <v>2025</v>
      </c>
      <c r="AG273" s="78">
        <f t="shared" si="177"/>
        <v>296845.59792635945</v>
      </c>
      <c r="AH273" s="78">
        <f t="shared" si="178"/>
        <v>-891407.33849910961</v>
      </c>
      <c r="AI273" s="78">
        <f t="shared" si="179"/>
        <v>14365.020992810709</v>
      </c>
      <c r="AJ273" s="78">
        <f t="shared" si="180"/>
        <v>7633.8363411338787</v>
      </c>
      <c r="AK273" s="79">
        <f t="shared" si="157"/>
        <v>-572562.88323880546</v>
      </c>
      <c r="AL273" s="78">
        <f t="shared" si="181"/>
        <v>0.5846792890864374</v>
      </c>
      <c r="AM273" s="78">
        <f t="shared" si="196"/>
        <v>-334765.65952934563</v>
      </c>
      <c r="AO273" s="12"/>
      <c r="AP273" s="13">
        <f t="shared" si="182"/>
        <v>2025</v>
      </c>
      <c r="AQ273" s="78">
        <f t="shared" si="183"/>
        <v>503283.15957456577</v>
      </c>
      <c r="AR273" s="78">
        <f t="shared" si="184"/>
        <v>-1079326.0129973427</v>
      </c>
      <c r="AS273" s="78">
        <f t="shared" si="185"/>
        <v>18755.442963973092</v>
      </c>
      <c r="AT273" s="78">
        <f t="shared" si="186"/>
        <v>9966.9873203872849</v>
      </c>
      <c r="AU273" s="79">
        <f t="shared" si="158"/>
        <v>-547320.42313841672</v>
      </c>
      <c r="AV273" s="78">
        <f t="shared" si="187"/>
        <v>0.5846792890864374</v>
      </c>
      <c r="AW273" s="78">
        <f t="shared" si="197"/>
        <v>-320006.91590305761</v>
      </c>
      <c r="AY273" s="12"/>
      <c r="AZ273" s="13">
        <f t="shared" si="188"/>
        <v>2025</v>
      </c>
      <c r="BA273" s="78">
        <f t="shared" si="189"/>
        <v>0</v>
      </c>
      <c r="BB273" s="78">
        <f t="shared" si="190"/>
        <v>0</v>
      </c>
      <c r="BC273" s="78">
        <f t="shared" si="191"/>
        <v>0</v>
      </c>
      <c r="BD273" s="78">
        <f t="shared" si="192"/>
        <v>0</v>
      </c>
      <c r="BE273" s="79">
        <f t="shared" si="159"/>
        <v>0</v>
      </c>
      <c r="BF273" s="78">
        <f t="shared" si="193"/>
        <v>0.5846792890864374</v>
      </c>
      <c r="BG273" s="78">
        <f t="shared" si="198"/>
        <v>0</v>
      </c>
    </row>
    <row r="274" spans="1:59" s="4" customFormat="1" ht="10.5">
      <c r="A274" s="12"/>
      <c r="B274" s="13">
        <f t="shared" si="152"/>
        <v>2026</v>
      </c>
      <c r="C274" s="78">
        <f t="shared" si="160"/>
        <v>143981.79983982889</v>
      </c>
      <c r="D274" s="78">
        <f t="shared" si="161"/>
        <v>-523059.80429046304</v>
      </c>
      <c r="E274" s="78">
        <f t="shared" si="162"/>
        <v>8595.3054466679623</v>
      </c>
      <c r="F274" s="78">
        <f t="shared" si="163"/>
        <v>4566.4226583313375</v>
      </c>
      <c r="G274" s="79">
        <f t="shared" si="153"/>
        <v>-365916.27634563483</v>
      </c>
      <c r="H274" s="78">
        <f ca="1">Zalozenia!F21</f>
        <v>0.5568374181775595</v>
      </c>
      <c r="I274" s="78">
        <f t="shared" si="154"/>
        <v>-203755.8745894497</v>
      </c>
      <c r="K274" s="12"/>
      <c r="L274" s="13">
        <f t="shared" si="164"/>
        <v>2026</v>
      </c>
      <c r="M274" s="78">
        <f t="shared" si="165"/>
        <v>551316.46361616172</v>
      </c>
      <c r="N274" s="78">
        <f t="shared" si="166"/>
        <v>-1710028.7451318211</v>
      </c>
      <c r="O274" s="78">
        <f t="shared" si="167"/>
        <v>25544.069842246161</v>
      </c>
      <c r="P274" s="78">
        <f t="shared" si="168"/>
        <v>13570.782334308951</v>
      </c>
      <c r="Q274" s="79">
        <f t="shared" si="155"/>
        <v>-1119597.4293391043</v>
      </c>
      <c r="R274" s="78">
        <f t="shared" si="169"/>
        <v>0.5568374181775595</v>
      </c>
      <c r="S274" s="78">
        <f t="shared" si="194"/>
        <v>-623433.74195141951</v>
      </c>
      <c r="U274" s="12"/>
      <c r="V274" s="13">
        <f t="shared" si="170"/>
        <v>2026</v>
      </c>
      <c r="W274" s="78">
        <f t="shared" si="171"/>
        <v>283168.56264898257</v>
      </c>
      <c r="X274" s="78">
        <f t="shared" si="172"/>
        <v>-873686.03971292172</v>
      </c>
      <c r="Y274" s="78">
        <f t="shared" si="173"/>
        <v>15262.996411299084</v>
      </c>
      <c r="Z274" s="78">
        <f t="shared" si="174"/>
        <v>8108.7627518350437</v>
      </c>
      <c r="AA274" s="79">
        <f t="shared" si="156"/>
        <v>-567145.71790080506</v>
      </c>
      <c r="AB274" s="78">
        <f t="shared" si="175"/>
        <v>0.5568374181775595</v>
      </c>
      <c r="AC274" s="78">
        <f t="shared" si="195"/>
        <v>-315807.9572863428</v>
      </c>
      <c r="AE274" s="12"/>
      <c r="AF274" s="13">
        <f t="shared" si="176"/>
        <v>2026</v>
      </c>
      <c r="AG274" s="78">
        <f t="shared" si="177"/>
        <v>307739.05428161245</v>
      </c>
      <c r="AH274" s="78">
        <f t="shared" si="178"/>
        <v>-936103.6294859933</v>
      </c>
      <c r="AI274" s="78">
        <f t="shared" si="179"/>
        <v>15049.659990801361</v>
      </c>
      <c r="AJ274" s="78">
        <f t="shared" si="180"/>
        <v>7995.4236424278552</v>
      </c>
      <c r="AK274" s="79">
        <f t="shared" si="157"/>
        <v>-605319.49157115154</v>
      </c>
      <c r="AL274" s="78">
        <f t="shared" si="181"/>
        <v>0.5568374181775595</v>
      </c>
      <c r="AM274" s="78">
        <f t="shared" si="196"/>
        <v>-337064.54285903298</v>
      </c>
      <c r="AO274" s="12"/>
      <c r="AP274" s="13">
        <f t="shared" si="182"/>
        <v>2026</v>
      </c>
      <c r="AQ274" s="78">
        <f t="shared" si="183"/>
        <v>521360.08456889895</v>
      </c>
      <c r="AR274" s="78">
        <f t="shared" si="184"/>
        <v>-1132827.0373572325</v>
      </c>
      <c r="AS274" s="78">
        <f t="shared" si="185"/>
        <v>19634.557896465114</v>
      </c>
      <c r="AT274" s="78">
        <f t="shared" si="186"/>
        <v>10431.239543615531</v>
      </c>
      <c r="AU274" s="79">
        <f t="shared" si="158"/>
        <v>-581401.15534825309</v>
      </c>
      <c r="AV274" s="78">
        <f t="shared" si="187"/>
        <v>0.5568374181775595</v>
      </c>
      <c r="AW274" s="78">
        <f t="shared" si="197"/>
        <v>-323745.91826957144</v>
      </c>
      <c r="AY274" s="12"/>
      <c r="AZ274" s="13">
        <f t="shared" si="188"/>
        <v>2026</v>
      </c>
      <c r="BA274" s="78">
        <f t="shared" si="189"/>
        <v>0</v>
      </c>
      <c r="BB274" s="78">
        <f t="shared" si="190"/>
        <v>0</v>
      </c>
      <c r="BC274" s="78">
        <f t="shared" si="191"/>
        <v>0</v>
      </c>
      <c r="BD274" s="78">
        <f t="shared" si="192"/>
        <v>0</v>
      </c>
      <c r="BE274" s="79">
        <f t="shared" si="159"/>
        <v>0</v>
      </c>
      <c r="BF274" s="78">
        <f t="shared" si="193"/>
        <v>0.5568374181775595</v>
      </c>
      <c r="BG274" s="78">
        <f t="shared" si="198"/>
        <v>0</v>
      </c>
    </row>
    <row r="275" spans="1:59" s="4" customFormat="1" ht="10.5">
      <c r="A275" s="12"/>
      <c r="B275" s="13">
        <f t="shared" si="152"/>
        <v>2027</v>
      </c>
      <c r="C275" s="78">
        <f t="shared" si="160"/>
        <v>147803.01283587769</v>
      </c>
      <c r="D275" s="78">
        <f t="shared" si="161"/>
        <v>-549925.86239972711</v>
      </c>
      <c r="E275" s="78">
        <f t="shared" si="162"/>
        <v>9001.1644913597356</v>
      </c>
      <c r="F275" s="78">
        <f t="shared" si="163"/>
        <v>4788.2354370790044</v>
      </c>
      <c r="G275" s="79">
        <f t="shared" si="153"/>
        <v>-388333.44963541068</v>
      </c>
      <c r="H275" s="78">
        <f ca="1">Zalozenia!F22</f>
        <v>0.53032135064529462</v>
      </c>
      <c r="I275" s="78">
        <f t="shared" si="154"/>
        <v>-205941.51951139749</v>
      </c>
      <c r="K275" s="12"/>
      <c r="L275" s="13">
        <f t="shared" si="164"/>
        <v>2027</v>
      </c>
      <c r="M275" s="78">
        <f t="shared" si="165"/>
        <v>565244.53612704156</v>
      </c>
      <c r="N275" s="78">
        <f t="shared" si="166"/>
        <v>-1795192.926673478</v>
      </c>
      <c r="O275" s="78">
        <f t="shared" si="167"/>
        <v>26716.969777818253</v>
      </c>
      <c r="P275" s="78">
        <f t="shared" si="168"/>
        <v>14212.287930557879</v>
      </c>
      <c r="Q275" s="79">
        <f t="shared" si="155"/>
        <v>-1189019.1328380601</v>
      </c>
      <c r="R275" s="78">
        <f t="shared" si="169"/>
        <v>0.53032135064529462</v>
      </c>
      <c r="S275" s="78">
        <f t="shared" si="194"/>
        <v>-630562.23246977699</v>
      </c>
      <c r="U275" s="12"/>
      <c r="V275" s="13">
        <f t="shared" si="170"/>
        <v>2027</v>
      </c>
      <c r="W275" s="78">
        <f t="shared" si="171"/>
        <v>290114.51311254903</v>
      </c>
      <c r="X275" s="78">
        <f t="shared" si="172"/>
        <v>-916916.1078896909</v>
      </c>
      <c r="Y275" s="78">
        <f t="shared" si="173"/>
        <v>15952.39577527749</v>
      </c>
      <c r="Z275" s="78">
        <f t="shared" si="174"/>
        <v>8485.9938767716449</v>
      </c>
      <c r="AA275" s="79">
        <f t="shared" si="156"/>
        <v>-602363.20512509276</v>
      </c>
      <c r="AB275" s="78">
        <f t="shared" si="175"/>
        <v>0.53032135064529462</v>
      </c>
      <c r="AC275" s="78">
        <f t="shared" si="195"/>
        <v>-319446.06852096785</v>
      </c>
      <c r="AE275" s="12"/>
      <c r="AF275" s="13">
        <f t="shared" si="176"/>
        <v>2027</v>
      </c>
      <c r="AG275" s="78">
        <f t="shared" si="177"/>
        <v>315530.61351208272</v>
      </c>
      <c r="AH275" s="78">
        <f t="shared" si="178"/>
        <v>-982958.04701266706</v>
      </c>
      <c r="AI275" s="78">
        <f t="shared" si="179"/>
        <v>15741.54192152828</v>
      </c>
      <c r="AJ275" s="78">
        <f t="shared" si="180"/>
        <v>8373.8286235384912</v>
      </c>
      <c r="AK275" s="79">
        <f t="shared" si="157"/>
        <v>-643312.06295551755</v>
      </c>
      <c r="AL275" s="78">
        <f t="shared" si="181"/>
        <v>0.53032135064529462</v>
      </c>
      <c r="AM275" s="78">
        <f t="shared" si="196"/>
        <v>-341162.12211298087</v>
      </c>
      <c r="AO275" s="12"/>
      <c r="AP275" s="13">
        <f t="shared" si="182"/>
        <v>2027</v>
      </c>
      <c r="AQ275" s="78">
        <f t="shared" si="183"/>
        <v>534162.93408952956</v>
      </c>
      <c r="AR275" s="78">
        <f t="shared" si="184"/>
        <v>-1188884.7057943812</v>
      </c>
      <c r="AS275" s="78">
        <f t="shared" si="185"/>
        <v>20521.957892134877</v>
      </c>
      <c r="AT275" s="78">
        <f t="shared" si="186"/>
        <v>10916.805943462921</v>
      </c>
      <c r="AU275" s="79">
        <f t="shared" si="158"/>
        <v>-623283.00786925387</v>
      </c>
      <c r="AV275" s="78">
        <f t="shared" si="187"/>
        <v>0.53032135064529462</v>
      </c>
      <c r="AW275" s="78">
        <f t="shared" si="197"/>
        <v>-330540.28656748449</v>
      </c>
      <c r="AY275" s="12"/>
      <c r="AZ275" s="13">
        <f t="shared" si="188"/>
        <v>2027</v>
      </c>
      <c r="BA275" s="78">
        <f t="shared" si="189"/>
        <v>0</v>
      </c>
      <c r="BB275" s="78">
        <f t="shared" si="190"/>
        <v>0</v>
      </c>
      <c r="BC275" s="78">
        <f t="shared" si="191"/>
        <v>0</v>
      </c>
      <c r="BD275" s="78">
        <f t="shared" si="192"/>
        <v>0</v>
      </c>
      <c r="BE275" s="79">
        <f t="shared" si="159"/>
        <v>0</v>
      </c>
      <c r="BF275" s="78">
        <f t="shared" si="193"/>
        <v>0.53032135064529462</v>
      </c>
      <c r="BG275" s="78">
        <f t="shared" si="198"/>
        <v>0</v>
      </c>
    </row>
    <row r="276" spans="1:59" s="4" customFormat="1" ht="10.5">
      <c r="A276" s="12"/>
      <c r="B276" s="13">
        <f t="shared" si="152"/>
        <v>2028</v>
      </c>
      <c r="C276" s="78">
        <f t="shared" si="160"/>
        <v>151836.33568079449</v>
      </c>
      <c r="D276" s="78">
        <f t="shared" si="161"/>
        <v>-578114.10498946195</v>
      </c>
      <c r="E276" s="78">
        <f t="shared" si="162"/>
        <v>9411.9813770859837</v>
      </c>
      <c r="F276" s="78">
        <f t="shared" si="163"/>
        <v>5020.5607071953245</v>
      </c>
      <c r="G276" s="79">
        <f t="shared" si="153"/>
        <v>-411845.22722438618</v>
      </c>
      <c r="H276" s="78">
        <f ca="1">Zalozenia!F23</f>
        <v>0.50506795299551888</v>
      </c>
      <c r="I276" s="78">
        <f t="shared" si="154"/>
        <v>-208009.82586519507</v>
      </c>
      <c r="K276" s="12"/>
      <c r="L276" s="13">
        <f t="shared" si="164"/>
        <v>2028</v>
      </c>
      <c r="M276" s="78">
        <f t="shared" si="165"/>
        <v>579956.75885952171</v>
      </c>
      <c r="N276" s="78">
        <f t="shared" si="166"/>
        <v>-1884450.3029802789</v>
      </c>
      <c r="O276" s="78">
        <f t="shared" si="167"/>
        <v>27902.066783720722</v>
      </c>
      <c r="P276" s="78">
        <f t="shared" si="168"/>
        <v>14883.584500595243</v>
      </c>
      <c r="Q276" s="79">
        <f t="shared" si="155"/>
        <v>-1261707.8928364413</v>
      </c>
      <c r="R276" s="78">
        <f t="shared" si="169"/>
        <v>0.50506795299551888</v>
      </c>
      <c r="S276" s="78">
        <f t="shared" si="194"/>
        <v>-637248.22271319095</v>
      </c>
      <c r="U276" s="12"/>
      <c r="V276" s="13">
        <f t="shared" si="170"/>
        <v>2028</v>
      </c>
      <c r="W276" s="78">
        <f t="shared" si="171"/>
        <v>297454.94088082749</v>
      </c>
      <c r="X276" s="78">
        <f t="shared" si="172"/>
        <v>-962209.19254606485</v>
      </c>
      <c r="Y276" s="78">
        <f t="shared" si="173"/>
        <v>16648.211381612145</v>
      </c>
      <c r="Z276" s="78">
        <f t="shared" si="174"/>
        <v>8880.5271237672096</v>
      </c>
      <c r="AA276" s="79">
        <f t="shared" si="156"/>
        <v>-639225.51315985806</v>
      </c>
      <c r="AB276" s="78">
        <f t="shared" si="175"/>
        <v>0.50506795299551888</v>
      </c>
      <c r="AC276" s="78">
        <f t="shared" si="195"/>
        <v>-322852.32143415965</v>
      </c>
      <c r="AE276" s="12"/>
      <c r="AF276" s="13">
        <f t="shared" si="176"/>
        <v>2028</v>
      </c>
      <c r="AG276" s="78">
        <f t="shared" si="177"/>
        <v>323760.55667276133</v>
      </c>
      <c r="AH276" s="78">
        <f t="shared" si="178"/>
        <v>-1032071.9635707533</v>
      </c>
      <c r="AI276" s="78">
        <f t="shared" si="179"/>
        <v>16440.674840984087</v>
      </c>
      <c r="AJ276" s="78">
        <f t="shared" si="180"/>
        <v>8769.8225059572778</v>
      </c>
      <c r="AK276" s="79">
        <f t="shared" si="157"/>
        <v>-683100.90955105063</v>
      </c>
      <c r="AL276" s="78">
        <f t="shared" si="181"/>
        <v>0.50506795299551888</v>
      </c>
      <c r="AM276" s="78">
        <f t="shared" si="196"/>
        <v>-345012.37807632622</v>
      </c>
      <c r="AO276" s="12"/>
      <c r="AP276" s="13">
        <f t="shared" si="182"/>
        <v>2028</v>
      </c>
      <c r="AQ276" s="78">
        <f t="shared" si="183"/>
        <v>547692.64752620843</v>
      </c>
      <c r="AR276" s="78">
        <f t="shared" si="184"/>
        <v>-1247618.0434543106</v>
      </c>
      <c r="AS276" s="78">
        <f t="shared" si="185"/>
        <v>21417.653480742538</v>
      </c>
      <c r="AT276" s="78">
        <f t="shared" si="186"/>
        <v>11424.653874424981</v>
      </c>
      <c r="AU276" s="79">
        <f t="shared" si="158"/>
        <v>-667083.08857293462</v>
      </c>
      <c r="AV276" s="78">
        <f t="shared" si="187"/>
        <v>0.50506795299551888</v>
      </c>
      <c r="AW276" s="78">
        <f t="shared" si="197"/>
        <v>-336922.29002346052</v>
      </c>
      <c r="AY276" s="12"/>
      <c r="AZ276" s="13">
        <f t="shared" si="188"/>
        <v>2028</v>
      </c>
      <c r="BA276" s="78">
        <f t="shared" si="189"/>
        <v>0</v>
      </c>
      <c r="BB276" s="78">
        <f t="shared" si="190"/>
        <v>0</v>
      </c>
      <c r="BC276" s="78">
        <f t="shared" si="191"/>
        <v>0</v>
      </c>
      <c r="BD276" s="78">
        <f t="shared" si="192"/>
        <v>0</v>
      </c>
      <c r="BE276" s="79">
        <f t="shared" si="159"/>
        <v>0</v>
      </c>
      <c r="BF276" s="78">
        <f t="shared" si="193"/>
        <v>0.50506795299551888</v>
      </c>
      <c r="BG276" s="78">
        <f t="shared" si="198"/>
        <v>0</v>
      </c>
    </row>
    <row r="277" spans="1:59" s="4" customFormat="1" ht="10.5">
      <c r="A277" s="12"/>
      <c r="B277" s="13">
        <f t="shared" si="152"/>
        <v>2029</v>
      </c>
      <c r="C277" s="78">
        <f t="shared" si="160"/>
        <v>155939.70108917367</v>
      </c>
      <c r="D277" s="78">
        <f t="shared" si="161"/>
        <v>-607687.57732682023</v>
      </c>
      <c r="E277" s="78">
        <f t="shared" si="162"/>
        <v>9827.758926418328</v>
      </c>
      <c r="F277" s="78">
        <f t="shared" si="163"/>
        <v>5263.8876256914536</v>
      </c>
      <c r="G277" s="79">
        <f t="shared" si="153"/>
        <v>-436656.22968553676</v>
      </c>
      <c r="H277" s="78">
        <f ca="1">Zalozenia!F24</f>
        <v>0.48101709809097021</v>
      </c>
      <c r="I277" s="78">
        <f t="shared" si="154"/>
        <v>-210039.11246668105</v>
      </c>
      <c r="K277" s="12"/>
      <c r="L277" s="13">
        <f t="shared" si="164"/>
        <v>2029</v>
      </c>
      <c r="M277" s="78">
        <f t="shared" si="165"/>
        <v>594908.75895984168</v>
      </c>
      <c r="N277" s="78">
        <f t="shared" si="166"/>
        <v>-1977992.5371390542</v>
      </c>
      <c r="O277" s="78">
        <f t="shared" si="167"/>
        <v>29099.369241974156</v>
      </c>
      <c r="P277" s="78">
        <f t="shared" si="168"/>
        <v>15586.036533364411</v>
      </c>
      <c r="Q277" s="79">
        <f t="shared" si="155"/>
        <v>-1338398.3724038741</v>
      </c>
      <c r="R277" s="78">
        <f t="shared" si="169"/>
        <v>0.48101709809097021</v>
      </c>
      <c r="S277" s="78">
        <f t="shared" si="194"/>
        <v>-643792.50118338922</v>
      </c>
      <c r="U277" s="12"/>
      <c r="V277" s="13">
        <f t="shared" si="170"/>
        <v>2029</v>
      </c>
      <c r="W277" s="78">
        <f t="shared" si="171"/>
        <v>304910.12942210928</v>
      </c>
      <c r="X277" s="78">
        <f t="shared" si="172"/>
        <v>-1009661.2380510895</v>
      </c>
      <c r="Y277" s="78">
        <f t="shared" si="173"/>
        <v>17350.448236540189</v>
      </c>
      <c r="Z277" s="78">
        <f t="shared" si="174"/>
        <v>9293.1471413095605</v>
      </c>
      <c r="AA277" s="79">
        <f t="shared" si="156"/>
        <v>-678107.51325113035</v>
      </c>
      <c r="AB277" s="78">
        <f t="shared" si="175"/>
        <v>0.48101709809097021</v>
      </c>
      <c r="AC277" s="78">
        <f t="shared" si="195"/>
        <v>-326181.30821774283</v>
      </c>
      <c r="AE277" s="12"/>
      <c r="AF277" s="13">
        <f t="shared" si="176"/>
        <v>2029</v>
      </c>
      <c r="AG277" s="78">
        <f t="shared" si="177"/>
        <v>332125.02994502697</v>
      </c>
      <c r="AH277" s="78">
        <f t="shared" si="178"/>
        <v>-1083551.4187354906</v>
      </c>
      <c r="AI277" s="78">
        <f t="shared" si="179"/>
        <v>17147.063687718586</v>
      </c>
      <c r="AJ277" s="78">
        <f t="shared" si="180"/>
        <v>9184.2114808182378</v>
      </c>
      <c r="AK277" s="79">
        <f t="shared" si="157"/>
        <v>-725095.11362192687</v>
      </c>
      <c r="AL277" s="78">
        <f t="shared" si="181"/>
        <v>0.48101709809097021</v>
      </c>
      <c r="AM277" s="78">
        <f t="shared" si="196"/>
        <v>-348783.14739436156</v>
      </c>
      <c r="AO277" s="12"/>
      <c r="AP277" s="13">
        <f t="shared" si="182"/>
        <v>2029</v>
      </c>
      <c r="AQ277" s="78">
        <f t="shared" si="183"/>
        <v>561434.2283718338</v>
      </c>
      <c r="AR277" s="78">
        <f t="shared" si="184"/>
        <v>-1309151.5136614963</v>
      </c>
      <c r="AS277" s="78">
        <f t="shared" si="185"/>
        <v>22321.651102493015</v>
      </c>
      <c r="AT277" s="78">
        <f t="shared" si="186"/>
        <v>11955.794184934968</v>
      </c>
      <c r="AU277" s="79">
        <f t="shared" si="158"/>
        <v>-713439.84000223456</v>
      </c>
      <c r="AV277" s="78">
        <f t="shared" si="187"/>
        <v>0.48101709809097021</v>
      </c>
      <c r="AW277" s="78">
        <f t="shared" si="197"/>
        <v>-343176.76150036097</v>
      </c>
      <c r="AY277" s="12"/>
      <c r="AZ277" s="13">
        <f t="shared" si="188"/>
        <v>2029</v>
      </c>
      <c r="BA277" s="78">
        <f t="shared" si="189"/>
        <v>0</v>
      </c>
      <c r="BB277" s="78">
        <f t="shared" si="190"/>
        <v>0</v>
      </c>
      <c r="BC277" s="78">
        <f t="shared" si="191"/>
        <v>0</v>
      </c>
      <c r="BD277" s="78">
        <f t="shared" si="192"/>
        <v>0</v>
      </c>
      <c r="BE277" s="79">
        <f t="shared" si="159"/>
        <v>0</v>
      </c>
      <c r="BF277" s="78">
        <f t="shared" si="193"/>
        <v>0.48101709809097021</v>
      </c>
      <c r="BG277" s="78">
        <f t="shared" si="198"/>
        <v>0</v>
      </c>
    </row>
    <row r="278" spans="1:59" s="4" customFormat="1" ht="10.5">
      <c r="A278" s="12"/>
      <c r="B278" s="13">
        <f t="shared" si="152"/>
        <v>2030</v>
      </c>
      <c r="C278" s="78">
        <f t="shared" si="160"/>
        <v>160213.4145091192</v>
      </c>
      <c r="D278" s="78">
        <f t="shared" si="161"/>
        <v>-638712.26217839192</v>
      </c>
      <c r="E278" s="78">
        <f t="shared" si="162"/>
        <v>10248.498308465247</v>
      </c>
      <c r="F278" s="78">
        <f t="shared" si="163"/>
        <v>5518.7277889554698</v>
      </c>
      <c r="G278" s="79">
        <f t="shared" si="153"/>
        <v>-462731.62157185195</v>
      </c>
      <c r="H278" s="78">
        <f ca="1">Zalozenia!F25</f>
        <v>0.45811152199140021</v>
      </c>
      <c r="I278" s="78">
        <f t="shared" si="154"/>
        <v>-211982.68743182972</v>
      </c>
      <c r="K278" s="12"/>
      <c r="L278" s="13">
        <f t="shared" si="164"/>
        <v>2030</v>
      </c>
      <c r="M278" s="78">
        <f t="shared" si="165"/>
        <v>610482.36729600187</v>
      </c>
      <c r="N278" s="78">
        <f t="shared" si="166"/>
        <v>-2076020.0968732424</v>
      </c>
      <c r="O278" s="78">
        <f t="shared" si="167"/>
        <v>30308.880603998794</v>
      </c>
      <c r="P278" s="78">
        <f t="shared" si="168"/>
        <v>16321.070327275142</v>
      </c>
      <c r="Q278" s="79">
        <f t="shared" si="155"/>
        <v>-1418907.7786459664</v>
      </c>
      <c r="R278" s="78">
        <f t="shared" si="169"/>
        <v>0.45811152199140021</v>
      </c>
      <c r="S278" s="78">
        <f t="shared" si="194"/>
        <v>-650018.00204094045</v>
      </c>
      <c r="U278" s="12"/>
      <c r="V278" s="13">
        <f t="shared" si="170"/>
        <v>2030</v>
      </c>
      <c r="W278" s="78">
        <f t="shared" si="171"/>
        <v>312675.53236800194</v>
      </c>
      <c r="X278" s="78">
        <f t="shared" si="172"/>
        <v>-1059372.5688587851</v>
      </c>
      <c r="Y278" s="78">
        <f t="shared" si="173"/>
        <v>18059.108394434941</v>
      </c>
      <c r="Z278" s="78">
        <f t="shared" si="174"/>
        <v>9724.6738341953314</v>
      </c>
      <c r="AA278" s="79">
        <f t="shared" si="156"/>
        <v>-718913.25426215283</v>
      </c>
      <c r="AB278" s="78">
        <f t="shared" si="175"/>
        <v>0.45811152199140021</v>
      </c>
      <c r="AC278" s="78">
        <f t="shared" si="195"/>
        <v>-329342.44508982531</v>
      </c>
      <c r="AE278" s="12"/>
      <c r="AF278" s="13">
        <f t="shared" si="176"/>
        <v>2030</v>
      </c>
      <c r="AG278" s="78">
        <f t="shared" si="177"/>
        <v>340837.22174207971</v>
      </c>
      <c r="AH278" s="78">
        <f t="shared" si="178"/>
        <v>-1137507.3308640684</v>
      </c>
      <c r="AI278" s="78">
        <f t="shared" si="179"/>
        <v>17860.710495774874</v>
      </c>
      <c r="AJ278" s="78">
        <f t="shared" si="180"/>
        <v>9617.8382799852807</v>
      </c>
      <c r="AK278" s="79">
        <f t="shared" si="157"/>
        <v>-769191.56034622854</v>
      </c>
      <c r="AL278" s="78">
        <f t="shared" si="181"/>
        <v>0.45811152199140021</v>
      </c>
      <c r="AM278" s="78">
        <f t="shared" si="196"/>
        <v>-352375.5164131507</v>
      </c>
      <c r="AO278" s="12"/>
      <c r="AP278" s="13">
        <f t="shared" si="182"/>
        <v>2030</v>
      </c>
      <c r="AQ278" s="78">
        <f t="shared" si="183"/>
        <v>575747.5843852869</v>
      </c>
      <c r="AR278" s="78">
        <f t="shared" si="184"/>
        <v>-1373615.2629883366</v>
      </c>
      <c r="AS278" s="78">
        <f t="shared" si="185"/>
        <v>23233.953400542028</v>
      </c>
      <c r="AT278" s="78">
        <f t="shared" si="186"/>
        <v>12511.283157743866</v>
      </c>
      <c r="AU278" s="79">
        <f t="shared" si="158"/>
        <v>-762122.44204476383</v>
      </c>
      <c r="AV278" s="78">
        <f t="shared" si="187"/>
        <v>0.45811152199140021</v>
      </c>
      <c r="AW278" s="78">
        <f t="shared" si="197"/>
        <v>-349137.07186892943</v>
      </c>
      <c r="AY278" s="12"/>
      <c r="AZ278" s="13">
        <f t="shared" si="188"/>
        <v>2030</v>
      </c>
      <c r="BA278" s="78">
        <f t="shared" si="189"/>
        <v>0</v>
      </c>
      <c r="BB278" s="78">
        <f t="shared" si="190"/>
        <v>0</v>
      </c>
      <c r="BC278" s="78">
        <f t="shared" si="191"/>
        <v>0</v>
      </c>
      <c r="BD278" s="78">
        <f t="shared" si="192"/>
        <v>0</v>
      </c>
      <c r="BE278" s="79">
        <f t="shared" si="159"/>
        <v>0</v>
      </c>
      <c r="BF278" s="78">
        <f t="shared" si="193"/>
        <v>0.45811152199140021</v>
      </c>
      <c r="BG278" s="78">
        <f t="shared" si="198"/>
        <v>0</v>
      </c>
    </row>
    <row r="279" spans="1:59" s="4" customFormat="1" ht="10.5">
      <c r="A279" s="12"/>
      <c r="B279" s="13">
        <f t="shared" si="152"/>
        <v>2031</v>
      </c>
      <c r="C279" s="78">
        <f t="shared" si="160"/>
        <v>164584.86147544239</v>
      </c>
      <c r="D279" s="78">
        <f t="shared" si="161"/>
        <v>-671257.21435755701</v>
      </c>
      <c r="E279" s="78">
        <f t="shared" si="162"/>
        <v>10674.144028724138</v>
      </c>
      <c r="F279" s="78">
        <f t="shared" si="163"/>
        <v>5785.6162505083485</v>
      </c>
      <c r="G279" s="79">
        <f t="shared" si="153"/>
        <v>-490212.59260288213</v>
      </c>
      <c r="H279" s="78">
        <f ca="1">Zalozenia!F26</f>
        <v>0.43629668761085727</v>
      </c>
      <c r="I279" s="78">
        <f t="shared" si="154"/>
        <v>-213878.1303777681</v>
      </c>
      <c r="K279" s="12"/>
      <c r="L279" s="13">
        <f t="shared" si="164"/>
        <v>2031</v>
      </c>
      <c r="M279" s="78">
        <f t="shared" si="165"/>
        <v>626399.49924072204</v>
      </c>
      <c r="N279" s="78">
        <f t="shared" si="166"/>
        <v>-2178742.6532948231</v>
      </c>
      <c r="O279" s="78">
        <f t="shared" si="167"/>
        <v>31530.436925987109</v>
      </c>
      <c r="P279" s="78">
        <f t="shared" si="168"/>
        <v>17090.176764873973</v>
      </c>
      <c r="Q279" s="79">
        <f t="shared" si="155"/>
        <v>-1503722.5403632401</v>
      </c>
      <c r="R279" s="78">
        <f t="shared" si="169"/>
        <v>0.43629668761085727</v>
      </c>
      <c r="S279" s="78">
        <f t="shared" si="194"/>
        <v>-656069.16344626527</v>
      </c>
      <c r="U279" s="12"/>
      <c r="V279" s="13">
        <f t="shared" si="170"/>
        <v>2031</v>
      </c>
      <c r="W279" s="78">
        <f t="shared" si="171"/>
        <v>320608.30774941551</v>
      </c>
      <c r="X279" s="78">
        <f t="shared" si="172"/>
        <v>-1111448.0867672744</v>
      </c>
      <c r="Y279" s="78">
        <f t="shared" si="173"/>
        <v>18774.094232339296</v>
      </c>
      <c r="Z279" s="78">
        <f t="shared" si="174"/>
        <v>10175.963935553193</v>
      </c>
      <c r="AA279" s="79">
        <f t="shared" si="156"/>
        <v>-761889.7208499664</v>
      </c>
      <c r="AB279" s="78">
        <f t="shared" si="175"/>
        <v>0.43629668761085727</v>
      </c>
      <c r="AC279" s="78">
        <f t="shared" si="195"/>
        <v>-332409.96153160103</v>
      </c>
      <c r="AE279" s="12"/>
      <c r="AF279" s="13">
        <f t="shared" si="176"/>
        <v>2031</v>
      </c>
      <c r="AG279" s="78">
        <f t="shared" si="177"/>
        <v>349741.90908689721</v>
      </c>
      <c r="AH279" s="78">
        <f t="shared" si="178"/>
        <v>-1194055.718289125</v>
      </c>
      <c r="AI279" s="78">
        <f t="shared" si="179"/>
        <v>18581.51865024777</v>
      </c>
      <c r="AJ279" s="78">
        <f t="shared" si="180"/>
        <v>10071.583817184768</v>
      </c>
      <c r="AK279" s="79">
        <f t="shared" si="157"/>
        <v>-815660.70673479524</v>
      </c>
      <c r="AL279" s="78">
        <f t="shared" si="181"/>
        <v>0.43629668761085727</v>
      </c>
      <c r="AM279" s="78">
        <f t="shared" si="196"/>
        <v>-355870.06456272205</v>
      </c>
      <c r="AO279" s="12"/>
      <c r="AP279" s="13">
        <f t="shared" si="182"/>
        <v>2031</v>
      </c>
      <c r="AQ279" s="78">
        <f t="shared" si="183"/>
        <v>590369.72069526475</v>
      </c>
      <c r="AR279" s="78">
        <f t="shared" si="184"/>
        <v>-1441145.3772542798</v>
      </c>
      <c r="AS279" s="78">
        <f t="shared" si="185"/>
        <v>24154.434775131238</v>
      </c>
      <c r="AT279" s="78">
        <f t="shared" si="186"/>
        <v>13092.224536298218</v>
      </c>
      <c r="AU279" s="79">
        <f t="shared" si="158"/>
        <v>-813528.99724758556</v>
      </c>
      <c r="AV279" s="78">
        <f t="shared" si="187"/>
        <v>0.43629668761085727</v>
      </c>
      <c r="AW279" s="78">
        <f t="shared" si="197"/>
        <v>-354940.0067745038</v>
      </c>
      <c r="AY279" s="12"/>
      <c r="AZ279" s="13">
        <f t="shared" si="188"/>
        <v>2031</v>
      </c>
      <c r="BA279" s="78">
        <f t="shared" si="189"/>
        <v>0</v>
      </c>
      <c r="BB279" s="78">
        <f t="shared" si="190"/>
        <v>0</v>
      </c>
      <c r="BC279" s="78">
        <f t="shared" si="191"/>
        <v>0</v>
      </c>
      <c r="BD279" s="78">
        <f t="shared" si="192"/>
        <v>0</v>
      </c>
      <c r="BE279" s="79">
        <f t="shared" si="159"/>
        <v>0</v>
      </c>
      <c r="BF279" s="78">
        <f t="shared" si="193"/>
        <v>0.43629668761085727</v>
      </c>
      <c r="BG279" s="78">
        <f t="shared" si="198"/>
        <v>0</v>
      </c>
    </row>
    <row r="280" spans="1:59" s="4" customFormat="1" ht="10.5">
      <c r="A280" s="12"/>
      <c r="B280" s="13">
        <f t="shared" si="152"/>
        <v>2032</v>
      </c>
      <c r="C280" s="78">
        <f t="shared" si="160"/>
        <v>169094.48590858711</v>
      </c>
      <c r="D280" s="78">
        <f t="shared" si="161"/>
        <v>-705394.70135537093</v>
      </c>
      <c r="E280" s="78">
        <f t="shared" si="162"/>
        <v>11104.811084445992</v>
      </c>
      <c r="F280" s="78">
        <f t="shared" si="163"/>
        <v>6065.1125844953294</v>
      </c>
      <c r="G280" s="79">
        <f t="shared" si="153"/>
        <v>-519130.29177784245</v>
      </c>
      <c r="H280" s="78">
        <f ca="1">Zalozenia!F27</f>
        <v>0.41552065486748313</v>
      </c>
      <c r="I280" s="78">
        <f t="shared" si="154"/>
        <v>-215709.35880107668</v>
      </c>
      <c r="K280" s="12"/>
      <c r="L280" s="13">
        <f t="shared" si="164"/>
        <v>2032</v>
      </c>
      <c r="M280" s="78">
        <f t="shared" si="165"/>
        <v>642813.19757280184</v>
      </c>
      <c r="N280" s="78">
        <f t="shared" si="166"/>
        <v>-2286379.4975206023</v>
      </c>
      <c r="O280" s="78">
        <f t="shared" si="167"/>
        <v>32764.378058707654</v>
      </c>
      <c r="P280" s="78">
        <f t="shared" si="168"/>
        <v>17894.914211135758</v>
      </c>
      <c r="Q280" s="79">
        <f t="shared" si="155"/>
        <v>-1592907.0076779572</v>
      </c>
      <c r="R280" s="78">
        <f t="shared" si="169"/>
        <v>0.41552065486748313</v>
      </c>
      <c r="S280" s="78">
        <f t="shared" si="194"/>
        <v>-661885.7629733478</v>
      </c>
      <c r="U280" s="12"/>
      <c r="V280" s="13">
        <f t="shared" si="170"/>
        <v>2032</v>
      </c>
      <c r="W280" s="78">
        <f t="shared" si="171"/>
        <v>328786.52427830611</v>
      </c>
      <c r="X280" s="78">
        <f t="shared" si="172"/>
        <v>-1165997.4769711075</v>
      </c>
      <c r="Y280" s="78">
        <f t="shared" si="173"/>
        <v>19495.608161937096</v>
      </c>
      <c r="Z280" s="78">
        <f t="shared" si="174"/>
        <v>10647.912648507117</v>
      </c>
      <c r="AA280" s="79">
        <f t="shared" si="156"/>
        <v>-807067.43188235711</v>
      </c>
      <c r="AB280" s="78">
        <f t="shared" si="175"/>
        <v>0.41552065486748313</v>
      </c>
      <c r="AC280" s="78">
        <f t="shared" si="195"/>
        <v>-335353.18781797483</v>
      </c>
      <c r="AE280" s="12"/>
      <c r="AF280" s="13">
        <f t="shared" si="176"/>
        <v>2032</v>
      </c>
      <c r="AG280" s="78">
        <f t="shared" si="177"/>
        <v>358924.5629622236</v>
      </c>
      <c r="AH280" s="78">
        <f t="shared" si="178"/>
        <v>-1253317.9304295711</v>
      </c>
      <c r="AI280" s="78">
        <f t="shared" si="179"/>
        <v>19309.688427903537</v>
      </c>
      <c r="AJ280" s="78">
        <f t="shared" si="180"/>
        <v>10546.368902285958</v>
      </c>
      <c r="AK280" s="79">
        <f t="shared" si="157"/>
        <v>-864537.31013715803</v>
      </c>
      <c r="AL280" s="78">
        <f t="shared" si="181"/>
        <v>0.41552065486748313</v>
      </c>
      <c r="AM280" s="78">
        <f t="shared" si="196"/>
        <v>-359233.10926556424</v>
      </c>
      <c r="AO280" s="12"/>
      <c r="AP280" s="13">
        <f t="shared" si="182"/>
        <v>2032</v>
      </c>
      <c r="AQ280" s="78">
        <f t="shared" si="183"/>
        <v>605444.41143903148</v>
      </c>
      <c r="AR280" s="78">
        <f t="shared" si="184"/>
        <v>-1511884.1489387122</v>
      </c>
      <c r="AS280" s="78">
        <f t="shared" si="185"/>
        <v>25083.355643095463</v>
      </c>
      <c r="AT280" s="78">
        <f t="shared" si="186"/>
        <v>13699.771640905859</v>
      </c>
      <c r="AU280" s="79">
        <f t="shared" si="158"/>
        <v>-867656.61021567939</v>
      </c>
      <c r="AV280" s="78">
        <f t="shared" si="187"/>
        <v>0.41552065486748313</v>
      </c>
      <c r="AW280" s="78">
        <f t="shared" si="197"/>
        <v>-360529.24287691963</v>
      </c>
      <c r="AY280" s="12"/>
      <c r="AZ280" s="13">
        <f t="shared" si="188"/>
        <v>2032</v>
      </c>
      <c r="BA280" s="78">
        <f t="shared" si="189"/>
        <v>0</v>
      </c>
      <c r="BB280" s="78">
        <f t="shared" si="190"/>
        <v>0</v>
      </c>
      <c r="BC280" s="78">
        <f t="shared" si="191"/>
        <v>0</v>
      </c>
      <c r="BD280" s="78">
        <f t="shared" si="192"/>
        <v>0</v>
      </c>
      <c r="BE280" s="79">
        <f t="shared" si="159"/>
        <v>0</v>
      </c>
      <c r="BF280" s="78">
        <f t="shared" si="193"/>
        <v>0.41552065486748313</v>
      </c>
      <c r="BG280" s="78">
        <f t="shared" si="198"/>
        <v>0</v>
      </c>
    </row>
    <row r="281" spans="1:59" s="4" customFormat="1" ht="10.5">
      <c r="A281" s="12"/>
      <c r="B281" s="13">
        <f t="shared" si="152"/>
        <v>2033</v>
      </c>
      <c r="C281" s="78">
        <f t="shared" si="160"/>
        <v>172550.5166095992</v>
      </c>
      <c r="D281" s="78">
        <f t="shared" si="161"/>
        <v>-741200.35032730806</v>
      </c>
      <c r="E281" s="78">
        <f t="shared" si="162"/>
        <v>11540.428146539312</v>
      </c>
      <c r="F281" s="78">
        <f t="shared" si="163"/>
        <v>6357.8019969521356</v>
      </c>
      <c r="G281" s="79">
        <f t="shared" si="153"/>
        <v>-550751.60357421741</v>
      </c>
      <c r="H281" s="78">
        <f ca="1">Zalozenia!F28</f>
        <v>0.39573395701665059</v>
      </c>
      <c r="I281" s="78">
        <f t="shared" si="154"/>
        <v>-217951.11141569074</v>
      </c>
      <c r="K281" s="12"/>
      <c r="L281" s="13">
        <f t="shared" si="164"/>
        <v>2033</v>
      </c>
      <c r="M281" s="78">
        <f t="shared" si="165"/>
        <v>655196.93496000196</v>
      </c>
      <c r="N281" s="78">
        <f t="shared" si="166"/>
        <v>-2399159.9759464469</v>
      </c>
      <c r="O281" s="78">
        <f t="shared" si="167"/>
        <v>34010.493159254314</v>
      </c>
      <c r="P281" s="78">
        <f t="shared" si="168"/>
        <v>18736.911540849254</v>
      </c>
      <c r="Q281" s="79">
        <f t="shared" si="155"/>
        <v>-1691215.6362863411</v>
      </c>
      <c r="R281" s="78">
        <f t="shared" si="169"/>
        <v>0.39573395701665059</v>
      </c>
      <c r="S281" s="78">
        <f t="shared" si="194"/>
        <v>-669271.45591602626</v>
      </c>
      <c r="U281" s="12"/>
      <c r="V281" s="13">
        <f t="shared" si="170"/>
        <v>2033</v>
      </c>
      <c r="W281" s="78">
        <f t="shared" si="171"/>
        <v>334896.13908880227</v>
      </c>
      <c r="X281" s="78">
        <f t="shared" si="172"/>
        <v>-1223135.4232956669</v>
      </c>
      <c r="Y281" s="78">
        <f t="shared" si="173"/>
        <v>20223.524591975878</v>
      </c>
      <c r="Z281" s="78">
        <f t="shared" si="174"/>
        <v>11141.455360547601</v>
      </c>
      <c r="AA281" s="79">
        <f t="shared" si="156"/>
        <v>-856874.30425434117</v>
      </c>
      <c r="AB281" s="78">
        <f t="shared" si="175"/>
        <v>0.39573395701665059</v>
      </c>
      <c r="AC281" s="78">
        <f t="shared" si="195"/>
        <v>-339094.25908845983</v>
      </c>
      <c r="AE281" s="12"/>
      <c r="AF281" s="13">
        <f t="shared" si="176"/>
        <v>2033</v>
      </c>
      <c r="AG281" s="78">
        <f t="shared" si="177"/>
        <v>365857.63019679964</v>
      </c>
      <c r="AH281" s="78">
        <f t="shared" si="178"/>
        <v>-1315420.8892595684</v>
      </c>
      <c r="AI281" s="78">
        <f t="shared" si="179"/>
        <v>20045.095578480166</v>
      </c>
      <c r="AJ281" s="78">
        <f t="shared" si="180"/>
        <v>11043.156031968752</v>
      </c>
      <c r="AK281" s="79">
        <f t="shared" si="157"/>
        <v>-918475.00745231984</v>
      </c>
      <c r="AL281" s="78">
        <f t="shared" si="181"/>
        <v>0.39573395701665059</v>
      </c>
      <c r="AM281" s="78">
        <f t="shared" si="196"/>
        <v>-363471.74912000418</v>
      </c>
      <c r="AO281" s="12"/>
      <c r="AP281" s="13">
        <f t="shared" si="182"/>
        <v>2033</v>
      </c>
      <c r="AQ281" s="78">
        <f t="shared" si="183"/>
        <v>616710.37751680717</v>
      </c>
      <c r="AR281" s="78">
        <f t="shared" si="184"/>
        <v>-1585980.3565124767</v>
      </c>
      <c r="AS281" s="78">
        <f t="shared" si="185"/>
        <v>26020.554423210961</v>
      </c>
      <c r="AT281" s="78">
        <f t="shared" si="186"/>
        <v>14335.12957864581</v>
      </c>
      <c r="AU281" s="79">
        <f t="shared" si="158"/>
        <v>-928914.2949938128</v>
      </c>
      <c r="AV281" s="78">
        <f t="shared" si="187"/>
        <v>0.39573395701665059</v>
      </c>
      <c r="AW281" s="78">
        <f t="shared" si="197"/>
        <v>-367602.92968723382</v>
      </c>
      <c r="AY281" s="12"/>
      <c r="AZ281" s="13">
        <f t="shared" si="188"/>
        <v>2033</v>
      </c>
      <c r="BA281" s="78">
        <f t="shared" si="189"/>
        <v>0</v>
      </c>
      <c r="BB281" s="78">
        <f t="shared" si="190"/>
        <v>0</v>
      </c>
      <c r="BC281" s="78">
        <f t="shared" si="191"/>
        <v>0</v>
      </c>
      <c r="BD281" s="78">
        <f t="shared" si="192"/>
        <v>0</v>
      </c>
      <c r="BE281" s="79">
        <f t="shared" si="159"/>
        <v>0</v>
      </c>
      <c r="BF281" s="78">
        <f t="shared" si="193"/>
        <v>0.39573395701665059</v>
      </c>
      <c r="BG281" s="78">
        <f t="shared" si="198"/>
        <v>0</v>
      </c>
    </row>
    <row r="282" spans="1:59" s="4" customFormat="1" ht="10.5">
      <c r="A282" s="12"/>
      <c r="B282" s="13">
        <f t="shared" si="152"/>
        <v>2034</v>
      </c>
      <c r="C282" s="78">
        <f t="shared" si="160"/>
        <v>176077.95539304634</v>
      </c>
      <c r="D282" s="78">
        <f t="shared" si="161"/>
        <v>-778753.30172027578</v>
      </c>
      <c r="E282" s="78">
        <f t="shared" si="162"/>
        <v>11981.007677023692</v>
      </c>
      <c r="F282" s="78">
        <f t="shared" si="163"/>
        <v>6664.2964869758644</v>
      </c>
      <c r="G282" s="79">
        <f t="shared" si="153"/>
        <v>-584030.0421632299</v>
      </c>
      <c r="H282" s="78">
        <f ca="1">Zalozenia!F29</f>
        <v>0.37688948287300061</v>
      </c>
      <c r="I282" s="78">
        <f t="shared" si="154"/>
        <v>-220114.78057319645</v>
      </c>
      <c r="K282" s="12"/>
      <c r="L282" s="13">
        <f t="shared" si="164"/>
        <v>2034</v>
      </c>
      <c r="M282" s="78">
        <f t="shared" si="165"/>
        <v>667831.87359792192</v>
      </c>
      <c r="N282" s="78">
        <f t="shared" si="166"/>
        <v>-2517323.9450080753</v>
      </c>
      <c r="O282" s="78">
        <f t="shared" si="167"/>
        <v>35268.819015062931</v>
      </c>
      <c r="P282" s="78">
        <f t="shared" si="168"/>
        <v>19617.871300810337</v>
      </c>
      <c r="Q282" s="79">
        <f t="shared" si="155"/>
        <v>-1794605.3810942804</v>
      </c>
      <c r="R282" s="78">
        <f t="shared" si="169"/>
        <v>0.37688948287300061</v>
      </c>
      <c r="S282" s="78">
        <f t="shared" si="194"/>
        <v>-676367.89404172753</v>
      </c>
      <c r="U282" s="12"/>
      <c r="V282" s="13">
        <f t="shared" si="170"/>
        <v>2034</v>
      </c>
      <c r="W282" s="78">
        <f t="shared" si="171"/>
        <v>341128.21205355588</v>
      </c>
      <c r="X282" s="78">
        <f t="shared" si="172"/>
        <v>-1282981.8330196305</v>
      </c>
      <c r="Y282" s="78">
        <f t="shared" si="173"/>
        <v>20957.865418339581</v>
      </c>
      <c r="Z282" s="78">
        <f t="shared" si="174"/>
        <v>11657.56943381326</v>
      </c>
      <c r="AA282" s="79">
        <f t="shared" si="156"/>
        <v>-909238.18611392181</v>
      </c>
      <c r="AB282" s="78">
        <f t="shared" si="175"/>
        <v>0.37688948287300061</v>
      </c>
      <c r="AC282" s="78">
        <f t="shared" si="195"/>
        <v>-342682.30977286107</v>
      </c>
      <c r="AE282" s="12"/>
      <c r="AF282" s="13">
        <f t="shared" si="176"/>
        <v>2034</v>
      </c>
      <c r="AG282" s="78">
        <f t="shared" si="177"/>
        <v>372931.45406415325</v>
      </c>
      <c r="AH282" s="78">
        <f t="shared" si="178"/>
        <v>-1380497.3415959191</v>
      </c>
      <c r="AI282" s="78">
        <f t="shared" si="179"/>
        <v>20787.761782174606</v>
      </c>
      <c r="AJ282" s="78">
        <f t="shared" si="180"/>
        <v>11562.951260160798</v>
      </c>
      <c r="AK282" s="79">
        <f t="shared" si="157"/>
        <v>-975215.1744894305</v>
      </c>
      <c r="AL282" s="78">
        <f t="shared" si="181"/>
        <v>0.37688948287300061</v>
      </c>
      <c r="AM282" s="78">
        <f t="shared" si="196"/>
        <v>-367548.34280322451</v>
      </c>
      <c r="AO282" s="12"/>
      <c r="AP282" s="13">
        <f t="shared" si="182"/>
        <v>2034</v>
      </c>
      <c r="AQ282" s="78">
        <f t="shared" si="183"/>
        <v>628202.25805816101</v>
      </c>
      <c r="AR282" s="78">
        <f t="shared" si="184"/>
        <v>-1663589.5562150662</v>
      </c>
      <c r="AS282" s="78">
        <f t="shared" si="185"/>
        <v>26966.059286756128</v>
      </c>
      <c r="AT282" s="78">
        <f t="shared" si="186"/>
        <v>14999.557551152073</v>
      </c>
      <c r="AU282" s="79">
        <f t="shared" si="158"/>
        <v>-993421.68131899706</v>
      </c>
      <c r="AV282" s="78">
        <f t="shared" si="187"/>
        <v>0.37688948287300061</v>
      </c>
      <c r="AW282" s="78">
        <f t="shared" si="197"/>
        <v>-374410.1837471436</v>
      </c>
      <c r="AY282" s="12"/>
      <c r="AZ282" s="13">
        <f t="shared" si="188"/>
        <v>2034</v>
      </c>
      <c r="BA282" s="78">
        <f t="shared" si="189"/>
        <v>0</v>
      </c>
      <c r="BB282" s="78">
        <f t="shared" si="190"/>
        <v>0</v>
      </c>
      <c r="BC282" s="78">
        <f t="shared" si="191"/>
        <v>0</v>
      </c>
      <c r="BD282" s="78">
        <f t="shared" si="192"/>
        <v>0</v>
      </c>
      <c r="BE282" s="79">
        <f t="shared" si="159"/>
        <v>0</v>
      </c>
      <c r="BF282" s="78">
        <f t="shared" si="193"/>
        <v>0.37688948287300061</v>
      </c>
      <c r="BG282" s="78">
        <f t="shared" si="198"/>
        <v>0</v>
      </c>
    </row>
    <row r="283" spans="1:59" s="4" customFormat="1" ht="10.5">
      <c r="A283" s="12"/>
      <c r="B283" s="13">
        <f t="shared" si="152"/>
        <v>2035</v>
      </c>
      <c r="C283" s="78">
        <f t="shared" si="160"/>
        <v>179694.83204035118</v>
      </c>
      <c r="D283" s="78">
        <f t="shared" si="161"/>
        <v>-818136.36983694753</v>
      </c>
      <c r="E283" s="78">
        <f t="shared" si="162"/>
        <v>12426.544934028738</v>
      </c>
      <c r="F283" s="78">
        <f t="shared" si="163"/>
        <v>6985.2360600246629</v>
      </c>
      <c r="G283" s="79">
        <f t="shared" si="153"/>
        <v>-619029.75680254283</v>
      </c>
      <c r="H283" s="78">
        <f ca="1">Zalozenia!F30</f>
        <v>0.35894236464095297</v>
      </c>
      <c r="I283" s="78">
        <f t="shared" si="154"/>
        <v>-222196.00468981877</v>
      </c>
      <c r="K283" s="12"/>
      <c r="L283" s="13">
        <f t="shared" si="164"/>
        <v>2035</v>
      </c>
      <c r="M283" s="78">
        <f t="shared" si="165"/>
        <v>680785.81174800184</v>
      </c>
      <c r="N283" s="78">
        <f t="shared" si="166"/>
        <v>-2641122.2462935597</v>
      </c>
      <c r="O283" s="78">
        <f t="shared" si="167"/>
        <v>36539.341659453334</v>
      </c>
      <c r="P283" s="78">
        <f t="shared" si="168"/>
        <v>20539.573012788067</v>
      </c>
      <c r="Q283" s="79">
        <f t="shared" si="155"/>
        <v>-1903257.5198733166</v>
      </c>
      <c r="R283" s="78">
        <f t="shared" si="169"/>
        <v>0.35894236464095297</v>
      </c>
      <c r="S283" s="78">
        <f t="shared" si="194"/>
        <v>-683159.7547040038</v>
      </c>
      <c r="U283" s="12"/>
      <c r="V283" s="13">
        <f t="shared" si="170"/>
        <v>2035</v>
      </c>
      <c r="W283" s="78">
        <f t="shared" si="171"/>
        <v>347517.19992434635</v>
      </c>
      <c r="X283" s="78">
        <f t="shared" si="172"/>
        <v>-1345662.0717092995</v>
      </c>
      <c r="Y283" s="78">
        <f t="shared" si="173"/>
        <v>21698.622338835288</v>
      </c>
      <c r="Z283" s="78">
        <f t="shared" si="174"/>
        <v>12197.276074625624</v>
      </c>
      <c r="AA283" s="79">
        <f t="shared" si="156"/>
        <v>-964248.97337149223</v>
      </c>
      <c r="AB283" s="78">
        <f t="shared" si="175"/>
        <v>0.35894236464095297</v>
      </c>
      <c r="AC283" s="78">
        <f t="shared" si="195"/>
        <v>-346109.80660457473</v>
      </c>
      <c r="AE283" s="12"/>
      <c r="AF283" s="13">
        <f t="shared" si="176"/>
        <v>2035</v>
      </c>
      <c r="AG283" s="78">
        <f t="shared" si="177"/>
        <v>380183.90887511964</v>
      </c>
      <c r="AH283" s="78">
        <f t="shared" si="178"/>
        <v>-1448686.1226844636</v>
      </c>
      <c r="AI283" s="78">
        <f t="shared" si="179"/>
        <v>21537.678807103119</v>
      </c>
      <c r="AJ283" s="78">
        <f t="shared" si="180"/>
        <v>12106.80615177485</v>
      </c>
      <c r="AK283" s="79">
        <f t="shared" si="157"/>
        <v>-1034857.7288504661</v>
      </c>
      <c r="AL283" s="78">
        <f t="shared" si="181"/>
        <v>0.35894236464095297</v>
      </c>
      <c r="AM283" s="78">
        <f t="shared" si="196"/>
        <v>-371454.28026055242</v>
      </c>
      <c r="AO283" s="12"/>
      <c r="AP283" s="13">
        <f t="shared" si="182"/>
        <v>2035</v>
      </c>
      <c r="AQ283" s="78">
        <f t="shared" si="183"/>
        <v>639983.5186521674</v>
      </c>
      <c r="AR283" s="78">
        <f t="shared" si="184"/>
        <v>-1744874.3868277282</v>
      </c>
      <c r="AS283" s="78">
        <f t="shared" si="185"/>
        <v>27919.859551599875</v>
      </c>
      <c r="AT283" s="78">
        <f t="shared" si="186"/>
        <v>15694.371264582147</v>
      </c>
      <c r="AU283" s="79">
        <f t="shared" si="158"/>
        <v>-1061276.6373593789</v>
      </c>
      <c r="AV283" s="78">
        <f t="shared" si="187"/>
        <v>0.35894236464095297</v>
      </c>
      <c r="AW283" s="78">
        <f t="shared" si="197"/>
        <v>-380937.1457519746</v>
      </c>
      <c r="AY283" s="12"/>
      <c r="AZ283" s="13">
        <f t="shared" si="188"/>
        <v>2035</v>
      </c>
      <c r="BA283" s="78">
        <f t="shared" si="189"/>
        <v>0</v>
      </c>
      <c r="BB283" s="78">
        <f t="shared" si="190"/>
        <v>0</v>
      </c>
      <c r="BC283" s="78">
        <f t="shared" si="191"/>
        <v>0</v>
      </c>
      <c r="BD283" s="78">
        <f t="shared" si="192"/>
        <v>0</v>
      </c>
      <c r="BE283" s="79">
        <f t="shared" si="159"/>
        <v>0</v>
      </c>
      <c r="BF283" s="78">
        <f t="shared" si="193"/>
        <v>0.35894236464095297</v>
      </c>
      <c r="BG283" s="78">
        <f t="shared" si="198"/>
        <v>0</v>
      </c>
    </row>
    <row r="284" spans="1:59" s="4" customFormat="1" ht="10.5">
      <c r="A284" s="12"/>
      <c r="B284" s="13">
        <f t="shared" si="152"/>
        <v>2036</v>
      </c>
      <c r="C284" s="78">
        <f t="shared" si="160"/>
        <v>183376.33458935269</v>
      </c>
      <c r="D284" s="78">
        <f t="shared" si="161"/>
        <v>-859436.21064763749</v>
      </c>
      <c r="E284" s="78">
        <f t="shared" si="162"/>
        <v>12877.013381552422</v>
      </c>
      <c r="F284" s="78">
        <f t="shared" si="163"/>
        <v>7321.2899956688561</v>
      </c>
      <c r="G284" s="79">
        <f t="shared" si="153"/>
        <v>-655861.57268106355</v>
      </c>
      <c r="H284" s="78">
        <f ca="1">Zalozenia!F31</f>
        <v>0.3418498710866219</v>
      </c>
      <c r="I284" s="78">
        <f t="shared" si="154"/>
        <v>-224206.19407169067</v>
      </c>
      <c r="K284" s="12"/>
      <c r="L284" s="13">
        <f t="shared" si="164"/>
        <v>2036</v>
      </c>
      <c r="M284" s="78">
        <f t="shared" si="165"/>
        <v>693964.12985856179</v>
      </c>
      <c r="N284" s="78">
        <f t="shared" si="166"/>
        <v>-2770817.2029108535</v>
      </c>
      <c r="O284" s="78">
        <f t="shared" si="167"/>
        <v>37821.983175063717</v>
      </c>
      <c r="P284" s="78">
        <f t="shared" si="168"/>
        <v>21503.876623491298</v>
      </c>
      <c r="Q284" s="79">
        <f t="shared" si="155"/>
        <v>-2017527.2132537367</v>
      </c>
      <c r="R284" s="78">
        <f t="shared" si="169"/>
        <v>0.3418498710866219</v>
      </c>
      <c r="S284" s="78">
        <f t="shared" si="194"/>
        <v>-689691.41776454146</v>
      </c>
      <c r="U284" s="12"/>
      <c r="V284" s="13">
        <f t="shared" si="170"/>
        <v>2036</v>
      </c>
      <c r="W284" s="78">
        <f t="shared" si="171"/>
        <v>354014.61833025509</v>
      </c>
      <c r="X284" s="78">
        <f t="shared" si="172"/>
        <v>-1411307.2085072293</v>
      </c>
      <c r="Y284" s="78">
        <f t="shared" si="173"/>
        <v>22445.749120935579</v>
      </c>
      <c r="Z284" s="78">
        <f t="shared" si="174"/>
        <v>12761.64228576636</v>
      </c>
      <c r="AA284" s="79">
        <f t="shared" si="156"/>
        <v>-1022085.1987702723</v>
      </c>
      <c r="AB284" s="78">
        <f t="shared" si="175"/>
        <v>0.3418498710866219</v>
      </c>
      <c r="AC284" s="78">
        <f t="shared" si="195"/>
        <v>-349399.69343916193</v>
      </c>
      <c r="AE284" s="12"/>
      <c r="AF284" s="13">
        <f t="shared" si="176"/>
        <v>2036</v>
      </c>
      <c r="AG284" s="78">
        <f t="shared" si="177"/>
        <v>387562.16960500443</v>
      </c>
      <c r="AH284" s="78">
        <f t="shared" si="178"/>
        <v>-1520132.4315872712</v>
      </c>
      <c r="AI284" s="78">
        <f t="shared" si="179"/>
        <v>22294.800722967571</v>
      </c>
      <c r="AJ284" s="78">
        <f t="shared" si="180"/>
        <v>12675.819823432927</v>
      </c>
      <c r="AK284" s="79">
        <f t="shared" si="157"/>
        <v>-1097599.6414358662</v>
      </c>
      <c r="AL284" s="78">
        <f t="shared" si="181"/>
        <v>0.3418498710866219</v>
      </c>
      <c r="AM284" s="78">
        <f t="shared" si="196"/>
        <v>-375214.2959295733</v>
      </c>
      <c r="AO284" s="12"/>
      <c r="AP284" s="13">
        <f t="shared" si="182"/>
        <v>2036</v>
      </c>
      <c r="AQ284" s="78">
        <f t="shared" si="183"/>
        <v>651964.88374709268</v>
      </c>
      <c r="AR284" s="78">
        <f t="shared" si="184"/>
        <v>-1830004.888016857</v>
      </c>
      <c r="AS284" s="78">
        <f t="shared" si="185"/>
        <v>28881.895728000491</v>
      </c>
      <c r="AT284" s="78">
        <f t="shared" si="186"/>
        <v>16420.945446269998</v>
      </c>
      <c r="AU284" s="79">
        <f t="shared" si="158"/>
        <v>-1132737.1630954938</v>
      </c>
      <c r="AV284" s="78">
        <f t="shared" si="187"/>
        <v>0.3418498710866219</v>
      </c>
      <c r="AW284" s="78">
        <f t="shared" si="197"/>
        <v>-387226.05317922035</v>
      </c>
      <c r="AY284" s="12"/>
      <c r="AZ284" s="13">
        <f t="shared" si="188"/>
        <v>2036</v>
      </c>
      <c r="BA284" s="78">
        <f t="shared" si="189"/>
        <v>0</v>
      </c>
      <c r="BB284" s="78">
        <f t="shared" si="190"/>
        <v>0</v>
      </c>
      <c r="BC284" s="78">
        <f t="shared" si="191"/>
        <v>0</v>
      </c>
      <c r="BD284" s="78">
        <f t="shared" si="192"/>
        <v>0</v>
      </c>
      <c r="BE284" s="79">
        <f t="shared" si="159"/>
        <v>0</v>
      </c>
      <c r="BF284" s="78">
        <f t="shared" si="193"/>
        <v>0.3418498710866219</v>
      </c>
      <c r="BG284" s="78">
        <f t="shared" si="198"/>
        <v>0</v>
      </c>
    </row>
    <row r="285" spans="1:59" s="4" customFormat="1" ht="10.5">
      <c r="A285" s="12"/>
      <c r="B285" s="13">
        <f t="shared" si="152"/>
        <v>2037</v>
      </c>
      <c r="C285" s="78">
        <f t="shared" si="160"/>
        <v>187157.99380316559</v>
      </c>
      <c r="D285" s="78">
        <f t="shared" si="161"/>
        <v>-902743.49717371573</v>
      </c>
      <c r="E285" s="78">
        <f t="shared" si="162"/>
        <v>13332.473049286049</v>
      </c>
      <c r="F285" s="78">
        <f t="shared" si="163"/>
        <v>7673.158172218973</v>
      </c>
      <c r="G285" s="79">
        <f t="shared" si="153"/>
        <v>-694579.87214904511</v>
      </c>
      <c r="H285" s="78">
        <f ca="1">Zalozenia!F32</f>
        <v>0.32557130579678267</v>
      </c>
      <c r="I285" s="78">
        <f t="shared" si="154"/>
        <v>-226135.27595572697</v>
      </c>
      <c r="K285" s="12"/>
      <c r="L285" s="13">
        <f t="shared" si="164"/>
        <v>2037</v>
      </c>
      <c r="M285" s="78">
        <f t="shared" si="165"/>
        <v>707500.74812184216</v>
      </c>
      <c r="N285" s="78">
        <f t="shared" si="166"/>
        <v>-2906683.1380535006</v>
      </c>
      <c r="O285" s="78">
        <f t="shared" si="167"/>
        <v>39116.919964986439</v>
      </c>
      <c r="P285" s="78">
        <f t="shared" si="168"/>
        <v>22512.726108037703</v>
      </c>
      <c r="Q285" s="79">
        <f t="shared" si="155"/>
        <v>-2137552.743858634</v>
      </c>
      <c r="R285" s="78">
        <f t="shared" si="169"/>
        <v>0.32557130579678267</v>
      </c>
      <c r="S285" s="78">
        <f t="shared" si="194"/>
        <v>-695925.83802755119</v>
      </c>
      <c r="U285" s="12"/>
      <c r="V285" s="13">
        <f t="shared" si="170"/>
        <v>2037</v>
      </c>
      <c r="W285" s="78">
        <f t="shared" si="171"/>
        <v>360688.62270087341</v>
      </c>
      <c r="X285" s="78">
        <f t="shared" si="172"/>
        <v>-1480054.2723370204</v>
      </c>
      <c r="Y285" s="78">
        <f t="shared" si="173"/>
        <v>23199.350482202797</v>
      </c>
      <c r="Z285" s="78">
        <f t="shared" si="174"/>
        <v>13351.782905139196</v>
      </c>
      <c r="AA285" s="79">
        <f t="shared" si="156"/>
        <v>-1082814.516248805</v>
      </c>
      <c r="AB285" s="78">
        <f t="shared" si="175"/>
        <v>0.32557130579678267</v>
      </c>
      <c r="AC285" s="78">
        <f t="shared" si="195"/>
        <v>-352533.33599083498</v>
      </c>
      <c r="AE285" s="12"/>
      <c r="AF285" s="13">
        <f t="shared" si="176"/>
        <v>2037</v>
      </c>
      <c r="AG285" s="78">
        <f t="shared" si="177"/>
        <v>395141.04071826668</v>
      </c>
      <c r="AH285" s="78">
        <f t="shared" si="178"/>
        <v>-1594988.1188945465</v>
      </c>
      <c r="AI285" s="78">
        <f t="shared" si="179"/>
        <v>23059.23151130445</v>
      </c>
      <c r="AJ285" s="78">
        <f t="shared" si="180"/>
        <v>13271.141075025831</v>
      </c>
      <c r="AK285" s="79">
        <f t="shared" si="157"/>
        <v>-1163516.7055899496</v>
      </c>
      <c r="AL285" s="78">
        <f t="shared" si="181"/>
        <v>0.32557130579678267</v>
      </c>
      <c r="AM285" s="78">
        <f t="shared" si="196"/>
        <v>-378807.65315529064</v>
      </c>
      <c r="AO285" s="12"/>
      <c r="AP285" s="13">
        <f t="shared" si="182"/>
        <v>2037</v>
      </c>
      <c r="AQ285" s="78">
        <f t="shared" si="183"/>
        <v>664271.88174511539</v>
      </c>
      <c r="AR285" s="78">
        <f t="shared" si="184"/>
        <v>-1919158.8328473109</v>
      </c>
      <c r="AS285" s="78">
        <f t="shared" si="185"/>
        <v>29852.302559046915</v>
      </c>
      <c r="AT285" s="78">
        <f t="shared" si="186"/>
        <v>17180.716472760494</v>
      </c>
      <c r="AU285" s="79">
        <f t="shared" si="158"/>
        <v>-1207853.932070388</v>
      </c>
      <c r="AV285" s="78">
        <f t="shared" si="187"/>
        <v>0.32557130579678267</v>
      </c>
      <c r="AW285" s="78">
        <f t="shared" si="197"/>
        <v>-393242.58187593467</v>
      </c>
      <c r="AY285" s="12"/>
      <c r="AZ285" s="13">
        <f t="shared" si="188"/>
        <v>2037</v>
      </c>
      <c r="BA285" s="78">
        <f t="shared" si="189"/>
        <v>0</v>
      </c>
      <c r="BB285" s="78">
        <f t="shared" si="190"/>
        <v>0</v>
      </c>
      <c r="BC285" s="78">
        <f t="shared" si="191"/>
        <v>0</v>
      </c>
      <c r="BD285" s="78">
        <f t="shared" si="192"/>
        <v>0</v>
      </c>
      <c r="BE285" s="79">
        <f t="shared" si="159"/>
        <v>0</v>
      </c>
      <c r="BF285" s="78">
        <f t="shared" si="193"/>
        <v>0.32557130579678267</v>
      </c>
      <c r="BG285" s="78">
        <f t="shared" si="198"/>
        <v>0</v>
      </c>
    </row>
    <row r="286" spans="1:59" s="4" customFormat="1" ht="10.5">
      <c r="A286" s="12"/>
      <c r="B286" s="13">
        <f t="shared" si="152"/>
        <v>2038</v>
      </c>
      <c r="C286" s="78">
        <f t="shared" si="160"/>
        <v>191085.0604019223</v>
      </c>
      <c r="D286" s="78">
        <f t="shared" si="161"/>
        <v>-948153.10278092325</v>
      </c>
      <c r="E286" s="78">
        <f t="shared" si="162"/>
        <v>13792.898421330612</v>
      </c>
      <c r="F286" s="78">
        <f t="shared" si="163"/>
        <v>8041.5724507634777</v>
      </c>
      <c r="G286" s="79">
        <f t="shared" si="153"/>
        <v>-735233.57150690688</v>
      </c>
      <c r="H286" s="78">
        <f ca="1">Zalozenia!F33</f>
        <v>0.31006791028265024</v>
      </c>
      <c r="I286" s="78">
        <f t="shared" si="154"/>
        <v>-227972.33708679612</v>
      </c>
      <c r="K286" s="12"/>
      <c r="L286" s="13">
        <f t="shared" si="164"/>
        <v>2038</v>
      </c>
      <c r="M286" s="78">
        <f t="shared" si="165"/>
        <v>721565.72096832213</v>
      </c>
      <c r="N286" s="78">
        <f t="shared" si="166"/>
        <v>-3049006.9167492311</v>
      </c>
      <c r="O286" s="78">
        <f t="shared" si="167"/>
        <v>40424.076947798028</v>
      </c>
      <c r="P286" s="78">
        <f t="shared" si="168"/>
        <v>23568.15323371283</v>
      </c>
      <c r="Q286" s="79">
        <f t="shared" si="155"/>
        <v>-2263448.9655993977</v>
      </c>
      <c r="R286" s="78">
        <f t="shared" si="169"/>
        <v>0.31006791028265024</v>
      </c>
      <c r="S286" s="78">
        <f t="shared" si="194"/>
        <v>-701822.89079483156</v>
      </c>
      <c r="U286" s="12"/>
      <c r="V286" s="13">
        <f t="shared" si="170"/>
        <v>2038</v>
      </c>
      <c r="W286" s="78">
        <f t="shared" si="171"/>
        <v>367625.60760697204</v>
      </c>
      <c r="X286" s="78">
        <f t="shared" si="172"/>
        <v>-1552046.5195064123</v>
      </c>
      <c r="Y286" s="78">
        <f t="shared" si="173"/>
        <v>23959.381817396581</v>
      </c>
      <c r="Z286" s="78">
        <f t="shared" si="174"/>
        <v>13968.862734618224</v>
      </c>
      <c r="AA286" s="79">
        <f t="shared" si="156"/>
        <v>-1146492.6673474256</v>
      </c>
      <c r="AB286" s="78">
        <f t="shared" si="175"/>
        <v>0.31006791028265024</v>
      </c>
      <c r="AC286" s="78">
        <f t="shared" si="195"/>
        <v>-355490.58551879792</v>
      </c>
      <c r="AE286" s="12"/>
      <c r="AF286" s="13">
        <f t="shared" si="176"/>
        <v>2038</v>
      </c>
      <c r="AG286" s="78">
        <f t="shared" si="177"/>
        <v>403015.52271106484</v>
      </c>
      <c r="AH286" s="78">
        <f t="shared" si="178"/>
        <v>-1673411.9873082847</v>
      </c>
      <c r="AI286" s="78">
        <f t="shared" si="179"/>
        <v>23830.926917656026</v>
      </c>
      <c r="AJ286" s="78">
        <f t="shared" si="180"/>
        <v>13893.970616126162</v>
      </c>
      <c r="AK286" s="79">
        <f t="shared" si="157"/>
        <v>-1232671.5670634375</v>
      </c>
      <c r="AL286" s="78">
        <f t="shared" si="181"/>
        <v>0.31006791028265024</v>
      </c>
      <c r="AM286" s="78">
        <f t="shared" si="196"/>
        <v>-382211.89686419984</v>
      </c>
      <c r="AO286" s="12"/>
      <c r="AP286" s="13">
        <f t="shared" si="182"/>
        <v>2038</v>
      </c>
      <c r="AQ286" s="78">
        <f t="shared" si="183"/>
        <v>677063.64421091357</v>
      </c>
      <c r="AR286" s="78">
        <f t="shared" si="184"/>
        <v>-2012522.0750915995</v>
      </c>
      <c r="AS286" s="78">
        <f t="shared" si="185"/>
        <v>30831.022651576455</v>
      </c>
      <c r="AT286" s="78">
        <f t="shared" si="186"/>
        <v>17975.185114128028</v>
      </c>
      <c r="AU286" s="79">
        <f t="shared" si="158"/>
        <v>-1286652.2231149813</v>
      </c>
      <c r="AV286" s="78">
        <f t="shared" si="187"/>
        <v>0.31006791028265024</v>
      </c>
      <c r="AW286" s="78">
        <f t="shared" si="197"/>
        <v>-398949.56608178851</v>
      </c>
      <c r="AY286" s="12"/>
      <c r="AZ286" s="13">
        <f t="shared" si="188"/>
        <v>2038</v>
      </c>
      <c r="BA286" s="78">
        <f t="shared" si="189"/>
        <v>0</v>
      </c>
      <c r="BB286" s="78">
        <f t="shared" si="190"/>
        <v>0</v>
      </c>
      <c r="BC286" s="78">
        <f t="shared" si="191"/>
        <v>0</v>
      </c>
      <c r="BD286" s="78">
        <f t="shared" si="192"/>
        <v>0</v>
      </c>
      <c r="BE286" s="79">
        <f t="shared" si="159"/>
        <v>0</v>
      </c>
      <c r="BF286" s="78">
        <f t="shared" si="193"/>
        <v>0.31006791028265024</v>
      </c>
      <c r="BG286" s="78">
        <f t="shared" si="198"/>
        <v>0</v>
      </c>
    </row>
    <row r="287" spans="1:59" s="4" customFormat="1" ht="10.5">
      <c r="A287" s="12"/>
      <c r="B287" s="13">
        <f t="shared" si="152"/>
        <v>2039</v>
      </c>
      <c r="C287" s="78">
        <f t="shared" si="160"/>
        <v>195053.70360598306</v>
      </c>
      <c r="D287" s="78">
        <f t="shared" si="161"/>
        <v>-995764.29273596476</v>
      </c>
      <c r="E287" s="78">
        <f t="shared" si="162"/>
        <v>14258.286558739015</v>
      </c>
      <c r="F287" s="78">
        <f t="shared" si="163"/>
        <v>8427.2981212611321</v>
      </c>
      <c r="G287" s="79">
        <f t="shared" si="153"/>
        <v>-778025.0044499815</v>
      </c>
      <c r="H287" s="78">
        <f ca="1">Zalozenia!F34</f>
        <v>0.29530277169776209</v>
      </c>
      <c r="I287" s="78">
        <f t="shared" si="154"/>
        <v>-229752.94026424323</v>
      </c>
      <c r="K287" s="12"/>
      <c r="L287" s="13">
        <f t="shared" si="164"/>
        <v>2039</v>
      </c>
      <c r="M287" s="78">
        <f t="shared" si="165"/>
        <v>735766.04199240217</v>
      </c>
      <c r="N287" s="78">
        <f t="shared" si="166"/>
        <v>-3198088.5118195703</v>
      </c>
      <c r="O287" s="78">
        <f t="shared" si="167"/>
        <v>41743.44546688634</v>
      </c>
      <c r="P287" s="78">
        <f t="shared" si="168"/>
        <v>24672.281491105696</v>
      </c>
      <c r="Q287" s="79">
        <f t="shared" si="155"/>
        <v>-2395906.742869176</v>
      </c>
      <c r="R287" s="78">
        <f t="shared" si="169"/>
        <v>0.29530277169776209</v>
      </c>
      <c r="S287" s="78">
        <f t="shared" si="194"/>
        <v>-707517.90189862507</v>
      </c>
      <c r="U287" s="12"/>
      <c r="V287" s="13">
        <f t="shared" si="170"/>
        <v>2039</v>
      </c>
      <c r="W287" s="78">
        <f t="shared" si="171"/>
        <v>374625.06559049431</v>
      </c>
      <c r="X287" s="78">
        <f t="shared" si="172"/>
        <v>-1627433.7132119958</v>
      </c>
      <c r="Y287" s="78">
        <f t="shared" si="173"/>
        <v>24725.837980692202</v>
      </c>
      <c r="Z287" s="78">
        <f t="shared" si="174"/>
        <v>14614.098763050997</v>
      </c>
      <c r="AA287" s="79">
        <f t="shared" si="156"/>
        <v>-1213468.7108777582</v>
      </c>
      <c r="AB287" s="78">
        <f t="shared" si="175"/>
        <v>0.29530277169776209</v>
      </c>
      <c r="AC287" s="78">
        <f t="shared" si="195"/>
        <v>-358340.67369071231</v>
      </c>
      <c r="AE287" s="12"/>
      <c r="AF287" s="13">
        <f t="shared" si="176"/>
        <v>2039</v>
      </c>
      <c r="AG287" s="78">
        <f t="shared" si="177"/>
        <v>410966.13278879179</v>
      </c>
      <c r="AH287" s="78">
        <f t="shared" si="178"/>
        <v>-1755570.1056688225</v>
      </c>
      <c r="AI287" s="78">
        <f t="shared" si="179"/>
        <v>24609.881839869671</v>
      </c>
      <c r="AJ287" s="78">
        <f t="shared" si="180"/>
        <v>14545.563391449601</v>
      </c>
      <c r="AK287" s="79">
        <f t="shared" si="157"/>
        <v>-1305448.5276487113</v>
      </c>
      <c r="AL287" s="78">
        <f t="shared" si="181"/>
        <v>0.29530277169776209</v>
      </c>
      <c r="AM287" s="78">
        <f t="shared" si="196"/>
        <v>-385502.56852342706</v>
      </c>
      <c r="AO287" s="12"/>
      <c r="AP287" s="13">
        <f t="shared" si="182"/>
        <v>2039</v>
      </c>
      <c r="AQ287" s="78">
        <f t="shared" si="183"/>
        <v>689970.91154580005</v>
      </c>
      <c r="AR287" s="78">
        <f t="shared" si="184"/>
        <v>-2110288.9119883957</v>
      </c>
      <c r="AS287" s="78">
        <f t="shared" si="185"/>
        <v>31818.049384646914</v>
      </c>
      <c r="AT287" s="78">
        <f t="shared" si="186"/>
        <v>18805.919399696992</v>
      </c>
      <c r="AU287" s="79">
        <f t="shared" si="158"/>
        <v>-1369694.0316582518</v>
      </c>
      <c r="AV287" s="78">
        <f t="shared" si="187"/>
        <v>0.29530277169776209</v>
      </c>
      <c r="AW287" s="78">
        <f t="shared" si="197"/>
        <v>-404474.44392656407</v>
      </c>
      <c r="AY287" s="12"/>
      <c r="AZ287" s="13">
        <f t="shared" si="188"/>
        <v>2039</v>
      </c>
      <c r="BA287" s="78">
        <f t="shared" si="189"/>
        <v>0</v>
      </c>
      <c r="BB287" s="78">
        <f t="shared" si="190"/>
        <v>0</v>
      </c>
      <c r="BC287" s="78">
        <f t="shared" si="191"/>
        <v>0</v>
      </c>
      <c r="BD287" s="78">
        <f t="shared" si="192"/>
        <v>0</v>
      </c>
      <c r="BE287" s="79">
        <f t="shared" si="159"/>
        <v>0</v>
      </c>
      <c r="BF287" s="78">
        <f t="shared" si="193"/>
        <v>0.29530277169776209</v>
      </c>
      <c r="BG287" s="78">
        <f t="shared" si="198"/>
        <v>0</v>
      </c>
    </row>
    <row r="288" spans="1:59" s="4" customFormat="1" ht="10.5">
      <c r="A288" s="12"/>
      <c r="B288" s="13">
        <f t="shared" si="152"/>
        <v>2040</v>
      </c>
      <c r="C288" s="78">
        <f t="shared" si="160"/>
        <v>196217.59603036687</v>
      </c>
      <c r="D288" s="78">
        <f t="shared" si="161"/>
        <v>-1026706.8753640451</v>
      </c>
      <c r="E288" s="78">
        <f t="shared" si="162"/>
        <v>14461.370945156546</v>
      </c>
      <c r="F288" s="78">
        <f t="shared" si="163"/>
        <v>8670.8930369961345</v>
      </c>
      <c r="G288" s="79">
        <f t="shared" si="153"/>
        <v>-807357.01535152562</v>
      </c>
      <c r="H288" s="78">
        <f ca="1">Zalozenia!F35</f>
        <v>0.28124073495024959</v>
      </c>
      <c r="I288" s="78">
        <f t="shared" si="154"/>
        <v>-227061.680364703</v>
      </c>
      <c r="K288" s="12"/>
      <c r="L288" s="13">
        <f t="shared" si="164"/>
        <v>2040</v>
      </c>
      <c r="M288" s="78">
        <f t="shared" si="165"/>
        <v>742746.64399991906</v>
      </c>
      <c r="N288" s="78">
        <f t="shared" si="166"/>
        <v>-3293378.3403736567</v>
      </c>
      <c r="O288" s="78">
        <f t="shared" si="167"/>
        <v>42293.384152696541</v>
      </c>
      <c r="P288" s="78">
        <f t="shared" si="168"/>
        <v>25358.689127841149</v>
      </c>
      <c r="Q288" s="79">
        <f t="shared" si="155"/>
        <v>-2482979.6230931999</v>
      </c>
      <c r="R288" s="78">
        <f t="shared" si="169"/>
        <v>0.28124073495024959</v>
      </c>
      <c r="S288" s="78">
        <f t="shared" si="194"/>
        <v>-698315.01406522526</v>
      </c>
      <c r="U288" s="12"/>
      <c r="V288" s="13">
        <f t="shared" si="170"/>
        <v>2040</v>
      </c>
      <c r="W288" s="78">
        <f t="shared" si="171"/>
        <v>374143.54862304073</v>
      </c>
      <c r="X288" s="78">
        <f t="shared" si="172"/>
        <v>-1675410.0127708607</v>
      </c>
      <c r="Y288" s="78">
        <f t="shared" si="173"/>
        <v>25036.01805134194</v>
      </c>
      <c r="Z288" s="78">
        <f t="shared" si="174"/>
        <v>15011.345426292184</v>
      </c>
      <c r="AA288" s="79">
        <f t="shared" si="156"/>
        <v>-1261219.1006701859</v>
      </c>
      <c r="AB288" s="78">
        <f t="shared" si="175"/>
        <v>0.28124073495024959</v>
      </c>
      <c r="AC288" s="78">
        <f t="shared" si="195"/>
        <v>-354706.18680577591</v>
      </c>
      <c r="AE288" s="12"/>
      <c r="AF288" s="13">
        <f t="shared" si="176"/>
        <v>2040</v>
      </c>
      <c r="AG288" s="78">
        <f t="shared" si="177"/>
        <v>422755.59404118854</v>
      </c>
      <c r="AH288" s="78">
        <f t="shared" si="178"/>
        <v>-1808219.3522762849</v>
      </c>
      <c r="AI288" s="78">
        <f t="shared" si="179"/>
        <v>24935.257562025461</v>
      </c>
      <c r="AJ288" s="78">
        <f t="shared" si="180"/>
        <v>14950.93044706705</v>
      </c>
      <c r="AK288" s="79">
        <f t="shared" si="157"/>
        <v>-1345577.5702260039</v>
      </c>
      <c r="AL288" s="78">
        <f t="shared" si="181"/>
        <v>0.28124073495024959</v>
      </c>
      <c r="AM288" s="78">
        <f t="shared" si="196"/>
        <v>-378431.22478293243</v>
      </c>
      <c r="AO288" s="12"/>
      <c r="AP288" s="13">
        <f t="shared" si="182"/>
        <v>2040</v>
      </c>
      <c r="AQ288" s="78">
        <f t="shared" si="183"/>
        <v>707051.45918899612</v>
      </c>
      <c r="AR288" s="78">
        <f t="shared" si="184"/>
        <v>-2172513.3458579127</v>
      </c>
      <c r="AS288" s="78">
        <f t="shared" si="185"/>
        <v>32217.949614276062</v>
      </c>
      <c r="AT288" s="78">
        <f t="shared" si="186"/>
        <v>19317.559589347391</v>
      </c>
      <c r="AU288" s="79">
        <f t="shared" si="158"/>
        <v>-1413926.3774652933</v>
      </c>
      <c r="AV288" s="78">
        <f t="shared" si="187"/>
        <v>0.28124073495024959</v>
      </c>
      <c r="AW288" s="78">
        <f t="shared" si="197"/>
        <v>-397653.69356388313</v>
      </c>
      <c r="AY288" s="12"/>
      <c r="AZ288" s="13">
        <f t="shared" si="188"/>
        <v>2040</v>
      </c>
      <c r="BA288" s="78">
        <f t="shared" si="189"/>
        <v>-8764261.9633799996</v>
      </c>
      <c r="BB288" s="78">
        <f t="shared" si="190"/>
        <v>-6575330.1783965975</v>
      </c>
      <c r="BC288" s="78">
        <f t="shared" si="191"/>
        <v>32597.042202040091</v>
      </c>
      <c r="BD288" s="78">
        <f t="shared" si="192"/>
        <v>19544.859704397753</v>
      </c>
      <c r="BE288" s="79">
        <f t="shared" si="159"/>
        <v>-15287450.239870159</v>
      </c>
      <c r="BF288" s="78">
        <f t="shared" si="193"/>
        <v>0.28124073495024959</v>
      </c>
      <c r="BG288" s="78">
        <f t="shared" si="198"/>
        <v>-4299453.7409764528</v>
      </c>
    </row>
    <row r="289" spans="1:59" s="4" customFormat="1" ht="10.5">
      <c r="A289" s="12"/>
      <c r="B289" s="13">
        <f t="shared" si="152"/>
        <v>2041</v>
      </c>
      <c r="C289" s="78">
        <f t="shared" si="160"/>
        <v>200195.93023826965</v>
      </c>
      <c r="D289" s="78">
        <f t="shared" si="161"/>
        <v>-1078088.0578080744</v>
      </c>
      <c r="E289" s="78">
        <f t="shared" si="162"/>
        <v>14928.052506143182</v>
      </c>
      <c r="F289" s="78">
        <f t="shared" si="163"/>
        <v>9086.0071849741598</v>
      </c>
      <c r="G289" s="79">
        <f t="shared" si="153"/>
        <v>-853878.06787868741</v>
      </c>
      <c r="H289" s="78">
        <f ca="1">Zalozenia!F36</f>
        <v>0.2678483190002377</v>
      </c>
      <c r="I289" s="78">
        <f t="shared" si="154"/>
        <v>-228709.80511247728</v>
      </c>
      <c r="K289" s="12"/>
      <c r="L289" s="13">
        <f t="shared" si="164"/>
        <v>2041</v>
      </c>
      <c r="M289" s="78">
        <f t="shared" si="165"/>
        <v>757016.8464531952</v>
      </c>
      <c r="N289" s="78">
        <f t="shared" si="166"/>
        <v>-3453963.2128761644</v>
      </c>
      <c r="O289" s="78">
        <f t="shared" si="167"/>
        <v>43612.770593126545</v>
      </c>
      <c r="P289" s="78">
        <f t="shared" si="168"/>
        <v>26545.053134205322</v>
      </c>
      <c r="Q289" s="79">
        <f t="shared" si="155"/>
        <v>-2626788.5426956369</v>
      </c>
      <c r="R289" s="78">
        <f t="shared" si="169"/>
        <v>0.2678483190002377</v>
      </c>
      <c r="S289" s="78">
        <f t="shared" si="194"/>
        <v>-703580.89553011046</v>
      </c>
      <c r="U289" s="12"/>
      <c r="V289" s="13">
        <f t="shared" si="170"/>
        <v>2041</v>
      </c>
      <c r="W289" s="78">
        <f t="shared" si="171"/>
        <v>381097.4271178419</v>
      </c>
      <c r="X289" s="78">
        <f t="shared" si="172"/>
        <v>-1756564.1214067042</v>
      </c>
      <c r="Y289" s="78">
        <f t="shared" si="173"/>
        <v>25801.170312507726</v>
      </c>
      <c r="Z289" s="78">
        <f t="shared" si="174"/>
        <v>15703.965319234707</v>
      </c>
      <c r="AA289" s="79">
        <f t="shared" si="156"/>
        <v>-1333961.55865712</v>
      </c>
      <c r="AB289" s="78">
        <f t="shared" si="175"/>
        <v>0.2678483190002377</v>
      </c>
      <c r="AC289" s="78">
        <f t="shared" si="195"/>
        <v>-357299.36109724658</v>
      </c>
      <c r="AE289" s="12"/>
      <c r="AF289" s="13">
        <f t="shared" si="176"/>
        <v>2041</v>
      </c>
      <c r="AG289" s="78">
        <f t="shared" si="177"/>
        <v>430897.69463054853</v>
      </c>
      <c r="AH289" s="78">
        <f t="shared" si="178"/>
        <v>-1896739.0097025956</v>
      </c>
      <c r="AI289" s="78">
        <f t="shared" si="179"/>
        <v>25714.320929219397</v>
      </c>
      <c r="AJ289" s="78">
        <f t="shared" si="180"/>
        <v>15651.104162681051</v>
      </c>
      <c r="AK289" s="79">
        <f t="shared" si="157"/>
        <v>-1424475.8899801464</v>
      </c>
      <c r="AL289" s="78">
        <f t="shared" si="181"/>
        <v>0.2678483190002377</v>
      </c>
      <c r="AM289" s="78">
        <f t="shared" si="196"/>
        <v>-381543.47258754977</v>
      </c>
      <c r="AO289" s="12"/>
      <c r="AP289" s="13">
        <f t="shared" si="182"/>
        <v>2041</v>
      </c>
      <c r="AQ289" s="78">
        <f t="shared" si="183"/>
        <v>720209.40527344891</v>
      </c>
      <c r="AR289" s="78">
        <f t="shared" si="184"/>
        <v>-2277760.9218617654</v>
      </c>
      <c r="AS289" s="78">
        <f t="shared" si="185"/>
        <v>33203.361781335399</v>
      </c>
      <c r="AT289" s="78">
        <f t="shared" si="186"/>
        <v>20209.332971354459</v>
      </c>
      <c r="AU289" s="79">
        <f t="shared" si="158"/>
        <v>-1504138.8218356266</v>
      </c>
      <c r="AV289" s="78">
        <f t="shared" si="187"/>
        <v>0.2678483190002377</v>
      </c>
      <c r="AW289" s="78">
        <f t="shared" si="197"/>
        <v>-402881.05497167062</v>
      </c>
      <c r="AY289" s="12"/>
      <c r="AZ289" s="13">
        <f t="shared" si="188"/>
        <v>2041</v>
      </c>
      <c r="BA289" s="78">
        <f t="shared" si="189"/>
        <v>-9475515.5806079991</v>
      </c>
      <c r="BB289" s="78">
        <f t="shared" si="190"/>
        <v>-7306568.7718493044</v>
      </c>
      <c r="BC289" s="78">
        <f t="shared" si="191"/>
        <v>35656.777293017265</v>
      </c>
      <c r="BD289" s="78">
        <f t="shared" si="192"/>
        <v>21702.612215763264</v>
      </c>
      <c r="BE289" s="79">
        <f t="shared" si="159"/>
        <v>-16724724.962948523</v>
      </c>
      <c r="BF289" s="78">
        <f t="shared" si="193"/>
        <v>0.2678483190002377</v>
      </c>
      <c r="BG289" s="78">
        <f t="shared" si="198"/>
        <v>-4479689.467067075</v>
      </c>
    </row>
    <row r="290" spans="1:59" s="4" customFormat="1" ht="10.5">
      <c r="A290" s="12"/>
      <c r="B290" s="13">
        <f t="shared" si="152"/>
        <v>2042</v>
      </c>
      <c r="C290" s="78">
        <f t="shared" si="160"/>
        <v>204238.18072972511</v>
      </c>
      <c r="D290" s="78">
        <f t="shared" si="161"/>
        <v>-1131951.152229466</v>
      </c>
      <c r="E290" s="78">
        <f t="shared" si="162"/>
        <v>15399.602953745953</v>
      </c>
      <c r="F290" s="78">
        <f t="shared" si="163"/>
        <v>9520.5849218911935</v>
      </c>
      <c r="G290" s="79">
        <f t="shared" si="153"/>
        <v>-902792.78362410364</v>
      </c>
      <c r="H290" s="78">
        <f ca="1">Zalozenia!F37</f>
        <v>0.25509363714308358</v>
      </c>
      <c r="I290" s="78">
        <f t="shared" si="154"/>
        <v>-230296.69476120148</v>
      </c>
      <c r="K290" s="12"/>
      <c r="L290" s="13">
        <f t="shared" si="164"/>
        <v>2042</v>
      </c>
      <c r="M290" s="78">
        <f t="shared" si="165"/>
        <v>771507.62096793798</v>
      </c>
      <c r="N290" s="78">
        <f t="shared" si="166"/>
        <v>-3622150.0250258427</v>
      </c>
      <c r="O290" s="78">
        <f t="shared" si="167"/>
        <v>44944.13579188603</v>
      </c>
      <c r="P290" s="78">
        <f t="shared" si="168"/>
        <v>27786.071032667438</v>
      </c>
      <c r="Q290" s="79">
        <f t="shared" si="155"/>
        <v>-2777912.1972333509</v>
      </c>
      <c r="R290" s="78">
        <f t="shared" si="169"/>
        <v>0.25509363714308358</v>
      </c>
      <c r="S290" s="78">
        <f t="shared" si="194"/>
        <v>-708627.72605639044</v>
      </c>
      <c r="U290" s="12"/>
      <c r="V290" s="13">
        <f t="shared" si="170"/>
        <v>2042</v>
      </c>
      <c r="W290" s="78">
        <f t="shared" si="171"/>
        <v>388156.06444266607</v>
      </c>
      <c r="X290" s="78">
        <f t="shared" si="172"/>
        <v>-1841533.9754138577</v>
      </c>
      <c r="Y290" s="78">
        <f t="shared" si="173"/>
        <v>26572.624193417258</v>
      </c>
      <c r="Z290" s="78">
        <f t="shared" si="174"/>
        <v>16428.145971736914</v>
      </c>
      <c r="AA290" s="79">
        <f t="shared" si="156"/>
        <v>-1410377.1408060375</v>
      </c>
      <c r="AB290" s="78">
        <f t="shared" si="175"/>
        <v>0.25509363714308358</v>
      </c>
      <c r="AC290" s="78">
        <f t="shared" si="195"/>
        <v>-359778.23459167505</v>
      </c>
      <c r="AE290" s="12"/>
      <c r="AF290" s="13">
        <f t="shared" si="176"/>
        <v>2042</v>
      </c>
      <c r="AG290" s="78">
        <f t="shared" si="177"/>
        <v>439165.87655098306</v>
      </c>
      <c r="AH290" s="78">
        <f t="shared" si="178"/>
        <v>-1989460.4244968162</v>
      </c>
      <c r="AI290" s="78">
        <f t="shared" si="179"/>
        <v>26500.505485316087</v>
      </c>
      <c r="AJ290" s="78">
        <f t="shared" si="180"/>
        <v>16383.55960889388</v>
      </c>
      <c r="AK290" s="79">
        <f t="shared" si="157"/>
        <v>-1507410.4828516233</v>
      </c>
      <c r="AL290" s="78">
        <f t="shared" si="181"/>
        <v>0.25509363714308358</v>
      </c>
      <c r="AM290" s="78">
        <f t="shared" si="196"/>
        <v>-384530.82273823244</v>
      </c>
      <c r="AO290" s="12"/>
      <c r="AP290" s="13">
        <f t="shared" si="182"/>
        <v>2042</v>
      </c>
      <c r="AQ290" s="78">
        <f t="shared" si="183"/>
        <v>733565.77278700506</v>
      </c>
      <c r="AR290" s="78">
        <f t="shared" si="184"/>
        <v>-2387958.0487520159</v>
      </c>
      <c r="AS290" s="78">
        <f t="shared" si="185"/>
        <v>34196.921333230799</v>
      </c>
      <c r="AT290" s="78">
        <f t="shared" si="186"/>
        <v>21141.758953016404</v>
      </c>
      <c r="AU290" s="79">
        <f t="shared" si="158"/>
        <v>-1599053.5956787635</v>
      </c>
      <c r="AV290" s="78">
        <f t="shared" si="187"/>
        <v>0.25509363714308358</v>
      </c>
      <c r="AW290" s="78">
        <f t="shared" si="197"/>
        <v>-407908.39770842157</v>
      </c>
      <c r="AY290" s="12"/>
      <c r="AZ290" s="13">
        <f t="shared" si="188"/>
        <v>2042</v>
      </c>
      <c r="BA290" s="78">
        <f t="shared" si="189"/>
        <v>-10204075.229317198</v>
      </c>
      <c r="BB290" s="78">
        <f t="shared" si="190"/>
        <v>-8087317.8672215892</v>
      </c>
      <c r="BC290" s="78">
        <f t="shared" si="191"/>
        <v>38827.333953281763</v>
      </c>
      <c r="BD290" s="78">
        <f t="shared" si="192"/>
        <v>24004.445523897652</v>
      </c>
      <c r="BE290" s="79">
        <f t="shared" si="159"/>
        <v>-18228561.317061607</v>
      </c>
      <c r="BF290" s="78">
        <f t="shared" si="193"/>
        <v>0.25509363714308358</v>
      </c>
      <c r="BG290" s="78">
        <f t="shared" si="198"/>
        <v>-4649990.0062549636</v>
      </c>
    </row>
    <row r="291" spans="1:59" s="4" customFormat="1" ht="10.5">
      <c r="A291" s="12"/>
      <c r="B291" s="13">
        <v>2043</v>
      </c>
      <c r="C291" s="78">
        <f t="shared" si="160"/>
        <v>214670.51163125539</v>
      </c>
      <c r="D291" s="78">
        <f t="shared" si="161"/>
        <v>-1188412.927646169</v>
      </c>
      <c r="E291" s="78">
        <f t="shared" si="162"/>
        <v>15875.982180147756</v>
      </c>
      <c r="F291" s="78">
        <f t="shared" si="163"/>
        <v>9975.524455157476</v>
      </c>
      <c r="G291" s="79">
        <f t="shared" si="153"/>
        <v>-947890.90937960835</v>
      </c>
      <c r="H291" s="78">
        <f ca="1">Zalozenia!F38</f>
        <v>0.24294632108865097</v>
      </c>
      <c r="I291" s="78">
        <f t="shared" si="154"/>
        <v>-230286.6092271517</v>
      </c>
      <c r="K291" s="12"/>
      <c r="L291" s="13">
        <f t="shared" si="164"/>
        <v>2043</v>
      </c>
      <c r="M291" s="78">
        <f t="shared" si="165"/>
        <v>810091.36567004817</v>
      </c>
      <c r="N291" s="78">
        <f t="shared" si="166"/>
        <v>-3798290.8566052183</v>
      </c>
      <c r="O291" s="78">
        <f t="shared" si="167"/>
        <v>46287.362823911622</v>
      </c>
      <c r="P291" s="78">
        <f t="shared" si="168"/>
        <v>29084.230164484863</v>
      </c>
      <c r="Q291" s="79">
        <f t="shared" si="155"/>
        <v>-2912827.8979467736</v>
      </c>
      <c r="R291" s="78">
        <f t="shared" si="169"/>
        <v>0.24294632108865097</v>
      </c>
      <c r="S291" s="78">
        <f t="shared" si="194"/>
        <v>-707660.82177055709</v>
      </c>
      <c r="U291" s="12"/>
      <c r="V291" s="13">
        <f t="shared" si="170"/>
        <v>2043</v>
      </c>
      <c r="W291" s="78">
        <f t="shared" si="171"/>
        <v>407322.66081023426</v>
      </c>
      <c r="X291" s="78">
        <f t="shared" si="172"/>
        <v>-1930495.1723741894</v>
      </c>
      <c r="Y291" s="78">
        <f t="shared" si="173"/>
        <v>27350.310609382221</v>
      </c>
      <c r="Z291" s="78">
        <f t="shared" si="174"/>
        <v>17185.31107204267</v>
      </c>
      <c r="AA291" s="79">
        <f t="shared" si="156"/>
        <v>-1478636.8898825303</v>
      </c>
      <c r="AB291" s="78">
        <f t="shared" si="175"/>
        <v>0.24294632108865097</v>
      </c>
      <c r="AC291" s="78">
        <f t="shared" si="195"/>
        <v>-359229.39262292546</v>
      </c>
      <c r="AE291" s="12"/>
      <c r="AF291" s="13">
        <f t="shared" si="176"/>
        <v>2043</v>
      </c>
      <c r="AG291" s="78">
        <f t="shared" si="177"/>
        <v>461149.66260831704</v>
      </c>
      <c r="AH291" s="78">
        <f t="shared" si="178"/>
        <v>-2086578.557632592</v>
      </c>
      <c r="AI291" s="78">
        <f t="shared" si="179"/>
        <v>27293.742284140852</v>
      </c>
      <c r="AJ291" s="78">
        <f t="shared" si="180"/>
        <v>17149.766895598696</v>
      </c>
      <c r="AK291" s="79">
        <f t="shared" si="157"/>
        <v>-1580985.3858445354</v>
      </c>
      <c r="AL291" s="78">
        <f t="shared" si="181"/>
        <v>0.24294632108865097</v>
      </c>
      <c r="AM291" s="78">
        <f t="shared" si="196"/>
        <v>-384094.58318585122</v>
      </c>
      <c r="AO291" s="12"/>
      <c r="AP291" s="13">
        <f t="shared" si="182"/>
        <v>2043</v>
      </c>
      <c r="AQ291" s="78">
        <f t="shared" si="183"/>
        <v>769805.60870572273</v>
      </c>
      <c r="AR291" s="78">
        <f t="shared" si="184"/>
        <v>-2503332.5484544449</v>
      </c>
      <c r="AS291" s="78">
        <f t="shared" si="185"/>
        <v>35198.539361081348</v>
      </c>
      <c r="AT291" s="78">
        <f t="shared" si="186"/>
        <v>22116.67197644979</v>
      </c>
      <c r="AU291" s="79">
        <f t="shared" si="158"/>
        <v>-1676211.7284111909</v>
      </c>
      <c r="AV291" s="78">
        <f t="shared" si="187"/>
        <v>0.24294632108865097</v>
      </c>
      <c r="AW291" s="78">
        <f t="shared" si="197"/>
        <v>-407229.47278314782</v>
      </c>
      <c r="AY291" s="12"/>
      <c r="AZ291" s="13">
        <f t="shared" si="188"/>
        <v>2043</v>
      </c>
      <c r="BA291" s="78">
        <f t="shared" si="189"/>
        <v>-11282655.21100536</v>
      </c>
      <c r="BB291" s="78">
        <f t="shared" si="190"/>
        <v>-8920417.7100821249</v>
      </c>
      <c r="BC291" s="78">
        <f t="shared" si="191"/>
        <v>42108.605288728228</v>
      </c>
      <c r="BD291" s="78">
        <f t="shared" si="192"/>
        <v>26458.547072164361</v>
      </c>
      <c r="BE291" s="79">
        <f t="shared" si="159"/>
        <v>-20134505.768726591</v>
      </c>
      <c r="BF291" s="78">
        <f t="shared" si="193"/>
        <v>0.24294632108865097</v>
      </c>
      <c r="BG291" s="78">
        <f t="shared" si="198"/>
        <v>-4891604.1034503458</v>
      </c>
    </row>
    <row r="292" spans="1:59">
      <c r="A292" s="43"/>
      <c r="B292" s="13">
        <f t="shared" si="152"/>
        <v>2044</v>
      </c>
      <c r="C292" s="78">
        <f t="shared" si="160"/>
        <v>219624.12691288444</v>
      </c>
      <c r="D292" s="78">
        <f t="shared" si="161"/>
        <v>-1251418.5335756398</v>
      </c>
      <c r="E292" s="78">
        <f t="shared" si="162"/>
        <v>16357.262021569142</v>
      </c>
      <c r="F292" s="78">
        <f t="shared" si="163"/>
        <v>10040.120006626224</v>
      </c>
      <c r="G292" s="79">
        <f t="shared" si="153"/>
        <v>-1005397.02463456</v>
      </c>
      <c r="H292" s="78">
        <f ca="1">Zalozenia!F39</f>
        <v>0.23137744865585813</v>
      </c>
      <c r="I292" s="78">
        <f t="shared" si="154"/>
        <v>-232626.19844613544</v>
      </c>
      <c r="K292" s="43"/>
      <c r="L292" s="13">
        <f t="shared" si="164"/>
        <v>2044</v>
      </c>
      <c r="M292" s="78">
        <f t="shared" si="165"/>
        <v>827952.12862937257</v>
      </c>
      <c r="N292" s="78">
        <f t="shared" si="166"/>
        <v>-3993888.7969708908</v>
      </c>
      <c r="O292" s="78">
        <f t="shared" si="167"/>
        <v>47642.661285279566</v>
      </c>
      <c r="P292" s="78">
        <f t="shared" si="168"/>
        <v>29243.160383962924</v>
      </c>
      <c r="Q292" s="79">
        <f t="shared" si="155"/>
        <v>-3089050.8466722756</v>
      </c>
      <c r="R292" s="78">
        <f t="shared" si="169"/>
        <v>0.23137744865585813</v>
      </c>
      <c r="S292" s="78">
        <f t="shared" si="194"/>
        <v>-714736.70367124956</v>
      </c>
      <c r="U292" s="43"/>
      <c r="V292" s="13">
        <f t="shared" si="170"/>
        <v>2044</v>
      </c>
      <c r="W292" s="78">
        <f t="shared" si="171"/>
        <v>416055.14550839999</v>
      </c>
      <c r="X292" s="78">
        <f t="shared" si="172"/>
        <v>-2030206.7807734821</v>
      </c>
      <c r="Y292" s="78">
        <f t="shared" si="173"/>
        <v>28134.353460388913</v>
      </c>
      <c r="Z292" s="78">
        <f t="shared" si="174"/>
        <v>17268.922187507211</v>
      </c>
      <c r="AA292" s="79">
        <f t="shared" si="156"/>
        <v>-1568748.359617186</v>
      </c>
      <c r="AB292" s="78">
        <f t="shared" si="175"/>
        <v>0.23137744865585813</v>
      </c>
      <c r="AC292" s="78">
        <f t="shared" si="195"/>
        <v>-362972.9930312871</v>
      </c>
      <c r="AE292" s="43"/>
      <c r="AF292" s="13">
        <f t="shared" si="176"/>
        <v>2044</v>
      </c>
      <c r="AG292" s="78">
        <f t="shared" si="177"/>
        <v>471337.97368230665</v>
      </c>
      <c r="AH292" s="78">
        <f t="shared" si="178"/>
        <v>-2194863.386048276</v>
      </c>
      <c r="AI292" s="78">
        <f t="shared" si="179"/>
        <v>28094.154911827009</v>
      </c>
      <c r="AJ292" s="78">
        <f t="shared" si="180"/>
        <v>17244.248238338863</v>
      </c>
      <c r="AK292" s="79">
        <f t="shared" si="157"/>
        <v>-1678187.0092158034</v>
      </c>
      <c r="AL292" s="78">
        <f t="shared" si="181"/>
        <v>0.23137744865585813</v>
      </c>
      <c r="AM292" s="78">
        <f t="shared" si="196"/>
        <v>-388294.62855975766</v>
      </c>
      <c r="AO292" s="43"/>
      <c r="AP292" s="13">
        <f t="shared" si="182"/>
        <v>2044</v>
      </c>
      <c r="AQ292" s="78">
        <f t="shared" si="183"/>
        <v>786326.86971771717</v>
      </c>
      <c r="AR292" s="78">
        <f t="shared" si="184"/>
        <v>-2632585.1292112526</v>
      </c>
      <c r="AS292" s="78">
        <f t="shared" si="185"/>
        <v>36208.375315639125</v>
      </c>
      <c r="AT292" s="78">
        <f t="shared" si="186"/>
        <v>22224.772882809499</v>
      </c>
      <c r="AU292" s="79">
        <f t="shared" si="158"/>
        <v>-1787825.1112950868</v>
      </c>
      <c r="AV292" s="78">
        <f t="shared" si="187"/>
        <v>0.23137744865585813</v>
      </c>
      <c r="AW292" s="78">
        <f t="shared" si="197"/>
        <v>-413662.41289433278</v>
      </c>
      <c r="AY292" s="43"/>
      <c r="AZ292" s="13">
        <f t="shared" si="188"/>
        <v>2044</v>
      </c>
      <c r="BA292" s="78">
        <f t="shared" si="189"/>
        <v>-12105895.00595933</v>
      </c>
      <c r="BB292" s="78">
        <f t="shared" si="190"/>
        <v>-9819492.6903577801</v>
      </c>
      <c r="BC292" s="78">
        <f t="shared" si="191"/>
        <v>45500.77506151922</v>
      </c>
      <c r="BD292" s="78">
        <f t="shared" si="192"/>
        <v>27928.466353951269</v>
      </c>
      <c r="BE292" s="79">
        <f t="shared" si="159"/>
        <v>-21851958.454901639</v>
      </c>
      <c r="BF292" s="78">
        <f t="shared" si="193"/>
        <v>0.23137744865585813</v>
      </c>
      <c r="BG292" s="78">
        <f t="shared" si="198"/>
        <v>-5056050.395428949</v>
      </c>
    </row>
    <row r="294" spans="1:59" s="4" customFormat="1" ht="10.5">
      <c r="A294" s="134" t="s">
        <v>5</v>
      </c>
      <c r="B294" s="134"/>
      <c r="C294" s="6">
        <v>1</v>
      </c>
      <c r="D294" s="6">
        <v>2</v>
      </c>
      <c r="E294" s="6">
        <v>3</v>
      </c>
      <c r="F294" s="6">
        <v>4</v>
      </c>
      <c r="G294" s="6">
        <v>5</v>
      </c>
      <c r="K294" s="134" t="s">
        <v>5</v>
      </c>
      <c r="L294" s="134"/>
      <c r="M294" s="6">
        <v>1</v>
      </c>
      <c r="N294" s="6">
        <v>2</v>
      </c>
      <c r="O294" s="6">
        <v>3</v>
      </c>
      <c r="P294" s="6">
        <v>4</v>
      </c>
      <c r="Q294" s="6">
        <v>5</v>
      </c>
      <c r="U294" s="134" t="s">
        <v>5</v>
      </c>
      <c r="V294" s="134"/>
      <c r="W294" s="6">
        <v>1</v>
      </c>
      <c r="X294" s="6">
        <v>2</v>
      </c>
      <c r="Y294" s="6">
        <v>3</v>
      </c>
      <c r="Z294" s="6">
        <v>4</v>
      </c>
      <c r="AA294" s="6">
        <v>5</v>
      </c>
      <c r="AE294" s="134" t="s">
        <v>5</v>
      </c>
      <c r="AF294" s="134"/>
      <c r="AG294" s="6">
        <v>1</v>
      </c>
      <c r="AH294" s="6">
        <v>2</v>
      </c>
      <c r="AI294" s="6">
        <v>3</v>
      </c>
      <c r="AJ294" s="6">
        <v>4</v>
      </c>
      <c r="AK294" s="6">
        <v>5</v>
      </c>
      <c r="AO294" s="134" t="s">
        <v>5</v>
      </c>
      <c r="AP294" s="134"/>
      <c r="AQ294" s="6">
        <v>1</v>
      </c>
      <c r="AR294" s="6">
        <v>2</v>
      </c>
      <c r="AS294" s="6">
        <v>3</v>
      </c>
      <c r="AT294" s="6">
        <v>4</v>
      </c>
      <c r="AU294" s="6">
        <v>5</v>
      </c>
      <c r="AY294" s="134" t="s">
        <v>5</v>
      </c>
      <c r="AZ294" s="134"/>
      <c r="BA294" s="6">
        <v>1</v>
      </c>
      <c r="BB294" s="6">
        <v>2</v>
      </c>
      <c r="BC294" s="6">
        <v>3</v>
      </c>
      <c r="BD294" s="6">
        <v>4</v>
      </c>
      <c r="BE294" s="6">
        <v>5</v>
      </c>
    </row>
    <row r="295" spans="1:59" s="4" customFormat="1" ht="31.5">
      <c r="A295" s="134" t="s">
        <v>6</v>
      </c>
      <c r="B295" s="134"/>
      <c r="C295" s="35" t="s">
        <v>131</v>
      </c>
      <c r="D295" s="35" t="s">
        <v>176</v>
      </c>
      <c r="E295" s="35" t="s">
        <v>139</v>
      </c>
      <c r="F295" s="35" t="s">
        <v>147</v>
      </c>
      <c r="G295" s="35" t="s">
        <v>169</v>
      </c>
      <c r="K295" s="134" t="s">
        <v>6</v>
      </c>
      <c r="L295" s="134"/>
      <c r="M295" s="35" t="s">
        <v>131</v>
      </c>
      <c r="N295" s="35" t="s">
        <v>176</v>
      </c>
      <c r="O295" s="35" t="s">
        <v>139</v>
      </c>
      <c r="P295" s="35" t="s">
        <v>147</v>
      </c>
      <c r="Q295" s="35" t="s">
        <v>169</v>
      </c>
      <c r="U295" s="134" t="s">
        <v>6</v>
      </c>
      <c r="V295" s="134"/>
      <c r="W295" s="35" t="s">
        <v>131</v>
      </c>
      <c r="X295" s="35" t="s">
        <v>176</v>
      </c>
      <c r="Y295" s="35" t="s">
        <v>139</v>
      </c>
      <c r="Z295" s="35" t="s">
        <v>147</v>
      </c>
      <c r="AA295" s="35" t="s">
        <v>169</v>
      </c>
      <c r="AE295" s="134" t="s">
        <v>6</v>
      </c>
      <c r="AF295" s="134"/>
      <c r="AG295" s="35" t="s">
        <v>131</v>
      </c>
      <c r="AH295" s="35" t="s">
        <v>176</v>
      </c>
      <c r="AI295" s="35" t="s">
        <v>139</v>
      </c>
      <c r="AJ295" s="35" t="s">
        <v>147</v>
      </c>
      <c r="AK295" s="35" t="s">
        <v>169</v>
      </c>
      <c r="AO295" s="134" t="s">
        <v>6</v>
      </c>
      <c r="AP295" s="134"/>
      <c r="AQ295" s="35" t="s">
        <v>131</v>
      </c>
      <c r="AR295" s="35" t="s">
        <v>176</v>
      </c>
      <c r="AS295" s="35" t="s">
        <v>139</v>
      </c>
      <c r="AT295" s="35" t="s">
        <v>147</v>
      </c>
      <c r="AU295" s="35" t="s">
        <v>169</v>
      </c>
      <c r="AY295" s="134" t="s">
        <v>6</v>
      </c>
      <c r="AZ295" s="134"/>
      <c r="BA295" s="35" t="s">
        <v>131</v>
      </c>
      <c r="BB295" s="35" t="s">
        <v>176</v>
      </c>
      <c r="BC295" s="35" t="s">
        <v>139</v>
      </c>
      <c r="BD295" s="35" t="s">
        <v>147</v>
      </c>
      <c r="BE295" s="35" t="s">
        <v>169</v>
      </c>
    </row>
    <row r="296" spans="1:59" s="4" customFormat="1" ht="10.5" customHeight="1">
      <c r="A296" s="134" t="s">
        <v>179</v>
      </c>
      <c r="B296" s="134"/>
      <c r="C296" s="78">
        <f>SUMPRODUCT(C263:C292,$H263:$H292)</f>
        <v>2372906.8246926805</v>
      </c>
      <c r="D296" s="78">
        <f>SUMPRODUCT(D263:D292,$H263:$H292)</f>
        <v>-8270041.4368337626</v>
      </c>
      <c r="E296" s="78">
        <f>SUMPRODUCT(E263:E292,$H263:$H292)</f>
        <v>126926.99391201323</v>
      </c>
      <c r="F296" s="78">
        <f>SUMPRODUCT(F263:F292,$H263:$H292)</f>
        <v>71397.695517098575</v>
      </c>
      <c r="G296" s="79">
        <f>SUM(C296:F296)</f>
        <v>-5698809.9227119703</v>
      </c>
      <c r="K296" s="134" t="s">
        <v>179</v>
      </c>
      <c r="L296" s="134"/>
      <c r="M296" s="78">
        <f>SUMPRODUCT(M263:M292,$H263:$H292)</f>
        <v>9216355.6841108929</v>
      </c>
      <c r="N296" s="78">
        <f>SUMPRODUCT(N263:N292,$H263:$H292)</f>
        <v>-26831051.133395772</v>
      </c>
      <c r="O296" s="78">
        <f>SUMPRODUCT(O263:O292,$H263:$H292)</f>
        <v>374828.82030151284</v>
      </c>
      <c r="P296" s="78">
        <f>SUMPRODUCT(P263:P292,$H263:$H292)</f>
        <v>210787.16071559372</v>
      </c>
      <c r="Q296" s="79">
        <f>SUM(M296:P296)</f>
        <v>-17029079.468267772</v>
      </c>
      <c r="U296" s="134" t="s">
        <v>179</v>
      </c>
      <c r="V296" s="134"/>
      <c r="W296" s="78">
        <f>SUMPRODUCT(W263:W292,$H263:$H292)</f>
        <v>4677366.9973524008</v>
      </c>
      <c r="X296" s="78">
        <f>SUMPRODUCT(X263:X292,$H263:$H292)</f>
        <v>-13756124.02253394</v>
      </c>
      <c r="Y296" s="78">
        <f>SUMPRODUCT(Y263:Y292,$H263:$H292)</f>
        <v>224487.28771032195</v>
      </c>
      <c r="Z296" s="78">
        <f>SUMPRODUCT(Z263:Z292,$H263:$H292)</f>
        <v>126231.37007251402</v>
      </c>
      <c r="AA296" s="79">
        <f>SUM(W296:Z296)</f>
        <v>-8728038.3673987035</v>
      </c>
      <c r="AE296" s="134" t="s">
        <v>179</v>
      </c>
      <c r="AF296" s="134"/>
      <c r="AG296" s="78">
        <f>SUMPRODUCT(AG263:AG292,$H263:$H292)</f>
        <v>5062537.0916480497</v>
      </c>
      <c r="AH296" s="78">
        <f>SUMPRODUCT(AH263:AH292,$H263:$H292)</f>
        <v>-14694516.66706307</v>
      </c>
      <c r="AI296" s="78">
        <f>SUMPRODUCT(AI263:AI292,$H263:$H292)</f>
        <v>220780.70570647254</v>
      </c>
      <c r="AJ296" s="78">
        <f>SUMPRODUCT(AJ263:AJ292,$H263:$H292)</f>
        <v>124157.96395610734</v>
      </c>
      <c r="AK296" s="79">
        <f>SUM(AG296:AJ296)</f>
        <v>-9287040.9057524409</v>
      </c>
      <c r="AO296" s="134" t="s">
        <v>179</v>
      </c>
      <c r="AP296" s="134"/>
      <c r="AQ296" s="78">
        <f>SUMPRODUCT(AQ263:AQ292,$H263:$H292)</f>
        <v>7405795.4351340178</v>
      </c>
      <c r="AR296" s="78">
        <f>SUMPRODUCT(AR263:AR292,$H263:$H292)</f>
        <v>-17838395.953951661</v>
      </c>
      <c r="AS296" s="78">
        <f>SUMPRODUCT(AS263:AS292,$H263:$H292)</f>
        <v>288838.73081278551</v>
      </c>
      <c r="AT296" s="78">
        <f>SUMPRODUCT(AT263:AT292,$H263:$H292)</f>
        <v>162417.87758099198</v>
      </c>
      <c r="AU296" s="79">
        <f>SUM(AQ296:AT296)</f>
        <v>-9981343.9104238637</v>
      </c>
      <c r="AY296" s="134" t="s">
        <v>179</v>
      </c>
      <c r="AZ296" s="134"/>
      <c r="BA296" s="78">
        <f>SUMPRODUCT(BA263:BA292,$H263:$H292)</f>
        <v>-13147973.735532105</v>
      </c>
      <c r="BB296" s="78">
        <f>SUMPRODUCT(BB263:BB292,$H263:$H292)</f>
        <v>-10308518.015622415</v>
      </c>
      <c r="BC296" s="78">
        <f>SUMPRODUCT(BC263:BC292,$H263:$H292)</f>
        <v>49380.813790387416</v>
      </c>
      <c r="BD296" s="78">
        <f>SUMPRODUCT(BD263:BD292,$H263:$H292)</f>
        <v>30323.224186346073</v>
      </c>
      <c r="BE296" s="79">
        <f>SUM(BA296:BD296)</f>
        <v>-23376787.713177785</v>
      </c>
    </row>
    <row r="297" spans="1:59" s="4" customFormat="1" ht="12.75" customHeight="1">
      <c r="A297" s="134" t="s">
        <v>180</v>
      </c>
      <c r="B297" s="134"/>
      <c r="C297" s="80">
        <f>C296/$G$296</f>
        <v>-0.41638637836221304</v>
      </c>
      <c r="D297" s="80">
        <f>D296/$G$296</f>
        <v>1.4511874494838715</v>
      </c>
      <c r="E297" s="80">
        <f>E296/$G$296</f>
        <v>-2.2272543852736672E-2</v>
      </c>
      <c r="F297" s="80">
        <f>F296/$G$296</f>
        <v>-1.2528527268921716E-2</v>
      </c>
      <c r="K297" s="134" t="s">
        <v>180</v>
      </c>
      <c r="L297" s="134"/>
      <c r="M297" s="80">
        <f>M296/$Q$296</f>
        <v>-0.54121279434304015</v>
      </c>
      <c r="N297" s="80">
        <f>N296/$Q$296</f>
        <v>1.5756019685851566</v>
      </c>
      <c r="O297" s="80">
        <f>O296/$Q$296</f>
        <v>-2.2011102890204616E-2</v>
      </c>
      <c r="P297" s="80">
        <f>P296/$Q$296</f>
        <v>-1.237807135191174E-2</v>
      </c>
      <c r="U297" s="134" t="s">
        <v>180</v>
      </c>
      <c r="V297" s="134"/>
      <c r="W297" s="80">
        <f>W296/$AA$296</f>
        <v>-0.53590128737557774</v>
      </c>
      <c r="X297" s="80">
        <f>X296/$AA$296</f>
        <v>1.5760842750091855</v>
      </c>
      <c r="Y297" s="80">
        <f>Y296/$AA$296</f>
        <v>-2.572024529003393E-2</v>
      </c>
      <c r="Z297" s="80">
        <f>Z296/$AA$296</f>
        <v>-1.4462742343573805E-2</v>
      </c>
      <c r="AE297" s="134" t="s">
        <v>180</v>
      </c>
      <c r="AF297" s="134"/>
      <c r="AG297" s="80">
        <f>AG296/$AK$296</f>
        <v>-0.54511842286731915</v>
      </c>
      <c r="AH297" s="80">
        <f>AH296/$AK$296</f>
        <v>1.5822603578671879</v>
      </c>
      <c r="AI297" s="80">
        <f>AI296/$AK$296</f>
        <v>-2.3772987321475005E-2</v>
      </c>
      <c r="AJ297" s="80">
        <f>AJ296/$AK$296</f>
        <v>-1.3368947678393799E-2</v>
      </c>
      <c r="AO297" s="134" t="s">
        <v>180</v>
      </c>
      <c r="AP297" s="134"/>
      <c r="AQ297" s="80">
        <f>AQ296/$AU$296</f>
        <v>-0.74196375774607759</v>
      </c>
      <c r="AR297" s="80">
        <f>AR296/$AU$296</f>
        <v>1.7871737627758126</v>
      </c>
      <c r="AS297" s="80">
        <f>AS296/$AU$296</f>
        <v>-2.8937859811757533E-2</v>
      </c>
      <c r="AT297" s="80">
        <f>AT296/$AU$296</f>
        <v>-1.6272145217977447E-2</v>
      </c>
      <c r="AY297" s="134" t="s">
        <v>180</v>
      </c>
      <c r="AZ297" s="134"/>
      <c r="BA297" s="80">
        <f>BA296/$BE$296</f>
        <v>0.56243714478017992</v>
      </c>
      <c r="BB297" s="80">
        <f>BB296/$BE$296</f>
        <v>0.44097239287549228</v>
      </c>
      <c r="BC297" s="80">
        <f>BC296/$BE$296</f>
        <v>-2.1123866288331327E-3</v>
      </c>
      <c r="BD297" s="80">
        <f>BD296/$BE$296</f>
        <v>-1.2971510268390081E-3</v>
      </c>
    </row>
    <row r="298" spans="1:59" s="4" customFormat="1" ht="10.5">
      <c r="N298" s="23"/>
      <c r="O298" s="23"/>
      <c r="P298" s="23"/>
      <c r="Q298" s="23"/>
    </row>
    <row r="299" spans="1:59" s="2" customFormat="1" ht="27" customHeight="1">
      <c r="A299" s="1" t="s">
        <v>181</v>
      </c>
      <c r="E299" s="3"/>
    </row>
    <row r="300" spans="1:59" s="4" customFormat="1" ht="10.5"/>
    <row r="301" spans="1:59" s="4" customFormat="1" ht="10.5">
      <c r="A301" s="174" t="s">
        <v>189</v>
      </c>
      <c r="B301" s="174"/>
      <c r="C301" s="174"/>
      <c r="D301" s="174"/>
      <c r="E301" s="174"/>
      <c r="F301" s="174"/>
      <c r="G301" s="174"/>
      <c r="I301" s="174" t="s">
        <v>190</v>
      </c>
      <c r="J301" s="174"/>
      <c r="K301" s="174"/>
      <c r="L301" s="174"/>
      <c r="M301" s="174"/>
      <c r="N301" s="174"/>
      <c r="O301" s="174"/>
      <c r="Q301" s="174" t="s">
        <v>191</v>
      </c>
      <c r="R301" s="174"/>
      <c r="S301" s="174"/>
      <c r="T301" s="174"/>
      <c r="U301" s="174"/>
      <c r="V301" s="174"/>
      <c r="W301" s="174"/>
      <c r="Y301" s="174" t="s">
        <v>192</v>
      </c>
      <c r="Z301" s="174"/>
      <c r="AA301" s="174"/>
      <c r="AB301" s="174"/>
      <c r="AC301" s="174"/>
      <c r="AD301" s="174"/>
      <c r="AE301" s="174"/>
      <c r="AG301" s="174" t="s">
        <v>193</v>
      </c>
      <c r="AH301" s="174"/>
      <c r="AI301" s="174"/>
      <c r="AJ301" s="174"/>
      <c r="AK301" s="174"/>
      <c r="AL301" s="174"/>
      <c r="AM301" s="174"/>
      <c r="AO301" s="174" t="s">
        <v>309</v>
      </c>
      <c r="AP301" s="174"/>
      <c r="AQ301" s="174"/>
      <c r="AR301" s="174"/>
      <c r="AS301" s="174"/>
      <c r="AT301" s="174"/>
      <c r="AU301" s="174"/>
    </row>
    <row r="302" spans="1:59" s="4" customFormat="1" ht="10.5">
      <c r="A302" s="134" t="s">
        <v>5</v>
      </c>
      <c r="B302" s="134"/>
      <c r="C302" s="6">
        <v>2</v>
      </c>
      <c r="D302" s="6">
        <v>7</v>
      </c>
      <c r="E302" s="6">
        <v>8</v>
      </c>
      <c r="F302" s="6">
        <v>9</v>
      </c>
      <c r="G302" s="6">
        <v>10</v>
      </c>
      <c r="I302" s="134" t="s">
        <v>5</v>
      </c>
      <c r="J302" s="134"/>
      <c r="K302" s="6">
        <v>2</v>
      </c>
      <c r="L302" s="6">
        <v>7</v>
      </c>
      <c r="M302" s="6">
        <v>8</v>
      </c>
      <c r="N302" s="6">
        <v>9</v>
      </c>
      <c r="O302" s="6">
        <v>10</v>
      </c>
      <c r="Q302" s="134" t="s">
        <v>5</v>
      </c>
      <c r="R302" s="134"/>
      <c r="S302" s="6">
        <v>2</v>
      </c>
      <c r="T302" s="6">
        <v>7</v>
      </c>
      <c r="U302" s="6">
        <v>8</v>
      </c>
      <c r="V302" s="6">
        <v>9</v>
      </c>
      <c r="W302" s="6">
        <v>10</v>
      </c>
      <c r="Y302" s="134" t="s">
        <v>5</v>
      </c>
      <c r="Z302" s="134"/>
      <c r="AA302" s="6">
        <v>2</v>
      </c>
      <c r="AB302" s="6">
        <v>7</v>
      </c>
      <c r="AC302" s="6">
        <v>8</v>
      </c>
      <c r="AD302" s="6">
        <v>9</v>
      </c>
      <c r="AE302" s="6">
        <v>10</v>
      </c>
      <c r="AG302" s="134" t="s">
        <v>5</v>
      </c>
      <c r="AH302" s="134"/>
      <c r="AI302" s="6">
        <v>2</v>
      </c>
      <c r="AJ302" s="6">
        <v>7</v>
      </c>
      <c r="AK302" s="6">
        <v>8</v>
      </c>
      <c r="AL302" s="6">
        <v>9</v>
      </c>
      <c r="AM302" s="6">
        <v>10</v>
      </c>
      <c r="AO302" s="134" t="s">
        <v>5</v>
      </c>
      <c r="AP302" s="134"/>
      <c r="AQ302" s="6">
        <v>2</v>
      </c>
      <c r="AR302" s="6">
        <v>7</v>
      </c>
      <c r="AS302" s="6">
        <v>8</v>
      </c>
      <c r="AT302" s="6">
        <v>9</v>
      </c>
      <c r="AU302" s="6">
        <v>10</v>
      </c>
    </row>
    <row r="303" spans="1:59" s="4" customFormat="1" ht="63">
      <c r="A303" s="134" t="s">
        <v>6</v>
      </c>
      <c r="B303" s="134"/>
      <c r="C303" s="35" t="s">
        <v>182</v>
      </c>
      <c r="D303" s="35" t="s">
        <v>183</v>
      </c>
      <c r="E303" s="35" t="s">
        <v>184</v>
      </c>
      <c r="F303" s="35" t="s">
        <v>177</v>
      </c>
      <c r="G303" s="35" t="s">
        <v>185</v>
      </c>
      <c r="I303" s="134" t="s">
        <v>6</v>
      </c>
      <c r="J303" s="134"/>
      <c r="K303" s="35" t="s">
        <v>182</v>
      </c>
      <c r="L303" s="35" t="s">
        <v>183</v>
      </c>
      <c r="M303" s="35" t="s">
        <v>184</v>
      </c>
      <c r="N303" s="35" t="s">
        <v>177</v>
      </c>
      <c r="O303" s="35" t="s">
        <v>185</v>
      </c>
      <c r="Q303" s="134" t="s">
        <v>6</v>
      </c>
      <c r="R303" s="134"/>
      <c r="S303" s="35" t="s">
        <v>182</v>
      </c>
      <c r="T303" s="35" t="s">
        <v>183</v>
      </c>
      <c r="U303" s="35" t="s">
        <v>184</v>
      </c>
      <c r="V303" s="35" t="s">
        <v>177</v>
      </c>
      <c r="W303" s="35" t="s">
        <v>185</v>
      </c>
      <c r="Y303" s="134" t="s">
        <v>6</v>
      </c>
      <c r="Z303" s="134"/>
      <c r="AA303" s="35" t="s">
        <v>182</v>
      </c>
      <c r="AB303" s="35" t="s">
        <v>183</v>
      </c>
      <c r="AC303" s="35" t="s">
        <v>184</v>
      </c>
      <c r="AD303" s="35" t="s">
        <v>177</v>
      </c>
      <c r="AE303" s="35" t="s">
        <v>185</v>
      </c>
      <c r="AG303" s="134" t="s">
        <v>6</v>
      </c>
      <c r="AH303" s="134"/>
      <c r="AI303" s="35" t="s">
        <v>182</v>
      </c>
      <c r="AJ303" s="35" t="s">
        <v>183</v>
      </c>
      <c r="AK303" s="35" t="s">
        <v>184</v>
      </c>
      <c r="AL303" s="35" t="s">
        <v>177</v>
      </c>
      <c r="AM303" s="35" t="s">
        <v>185</v>
      </c>
      <c r="AO303" s="134" t="s">
        <v>6</v>
      </c>
      <c r="AP303" s="134"/>
      <c r="AQ303" s="35" t="s">
        <v>182</v>
      </c>
      <c r="AR303" s="35" t="s">
        <v>183</v>
      </c>
      <c r="AS303" s="35" t="s">
        <v>184</v>
      </c>
      <c r="AT303" s="35" t="s">
        <v>177</v>
      </c>
      <c r="AU303" s="35" t="s">
        <v>185</v>
      </c>
    </row>
    <row r="304" spans="1:59" s="4" customFormat="1" ht="21">
      <c r="A304" s="8"/>
      <c r="B304" s="9" t="s">
        <v>22</v>
      </c>
      <c r="C304" s="36" t="s">
        <v>28</v>
      </c>
      <c r="D304" s="36" t="s">
        <v>28</v>
      </c>
      <c r="E304" s="36" t="s">
        <v>28</v>
      </c>
      <c r="F304" s="36"/>
      <c r="G304" s="36" t="s">
        <v>28</v>
      </c>
      <c r="I304" s="8"/>
      <c r="J304" s="9" t="s">
        <v>22</v>
      </c>
      <c r="K304" s="36" t="s">
        <v>28</v>
      </c>
      <c r="L304" s="36" t="s">
        <v>28</v>
      </c>
      <c r="M304" s="36" t="s">
        <v>28</v>
      </c>
      <c r="N304" s="36"/>
      <c r="O304" s="36" t="s">
        <v>28</v>
      </c>
      <c r="Q304" s="8"/>
      <c r="R304" s="9" t="s">
        <v>22</v>
      </c>
      <c r="S304" s="36" t="s">
        <v>28</v>
      </c>
      <c r="T304" s="36" t="s">
        <v>28</v>
      </c>
      <c r="U304" s="36" t="s">
        <v>28</v>
      </c>
      <c r="V304" s="36"/>
      <c r="W304" s="36" t="s">
        <v>28</v>
      </c>
      <c r="Y304" s="8"/>
      <c r="Z304" s="9" t="s">
        <v>22</v>
      </c>
      <c r="AA304" s="36" t="s">
        <v>28</v>
      </c>
      <c r="AB304" s="36" t="s">
        <v>28</v>
      </c>
      <c r="AC304" s="36" t="s">
        <v>28</v>
      </c>
      <c r="AD304" s="36"/>
      <c r="AE304" s="36" t="s">
        <v>28</v>
      </c>
      <c r="AG304" s="8"/>
      <c r="AH304" s="9" t="s">
        <v>22</v>
      </c>
      <c r="AI304" s="36" t="s">
        <v>28</v>
      </c>
      <c r="AJ304" s="36" t="s">
        <v>28</v>
      </c>
      <c r="AK304" s="36" t="s">
        <v>28</v>
      </c>
      <c r="AL304" s="36"/>
      <c r="AM304" s="36" t="s">
        <v>28</v>
      </c>
      <c r="AO304" s="8"/>
      <c r="AP304" s="9" t="s">
        <v>22</v>
      </c>
      <c r="AQ304" s="36" t="s">
        <v>28</v>
      </c>
      <c r="AR304" s="36" t="s">
        <v>28</v>
      </c>
      <c r="AS304" s="36" t="s">
        <v>28</v>
      </c>
      <c r="AT304" s="36"/>
      <c r="AU304" s="36" t="s">
        <v>28</v>
      </c>
    </row>
    <row r="305" spans="1:47" s="4" customFormat="1" ht="10.5">
      <c r="A305" s="12"/>
      <c r="B305" s="13">
        <f t="shared" ref="B305:B334" si="199">B263</f>
        <v>2015</v>
      </c>
      <c r="C305" s="78">
        <f ca="1">($M8-$C8+$M43-$C43)*Zalozenia!$C$45</f>
        <v>5681053.343874977</v>
      </c>
      <c r="D305" s="78">
        <f>G263</f>
        <v>-130700.13790378158</v>
      </c>
      <c r="E305" s="78">
        <f>D305-C305</f>
        <v>-5811753.4817787586</v>
      </c>
      <c r="F305" s="78">
        <f>H263</f>
        <v>0.95238095238095233</v>
      </c>
      <c r="G305" s="79">
        <f>E305*F305</f>
        <v>-5535003.3159797695</v>
      </c>
      <c r="I305" s="12"/>
      <c r="J305" s="13">
        <f>B305</f>
        <v>2015</v>
      </c>
      <c r="K305" s="78">
        <f ca="1">($N8-$D8+$N43-$D43)*Zalozenia!$C$45</f>
        <v>12832235.68607749</v>
      </c>
      <c r="L305" s="78">
        <f>Q263</f>
        <v>-351453.92333425727</v>
      </c>
      <c r="M305" s="78">
        <f>L305-K305</f>
        <v>-13183689.609411748</v>
      </c>
      <c r="N305" s="78">
        <f>F305</f>
        <v>0.95238095238095233</v>
      </c>
      <c r="O305" s="79">
        <f>M305*N305</f>
        <v>-12555894.866106426</v>
      </c>
      <c r="Q305" s="12"/>
      <c r="R305" s="13">
        <f>J305</f>
        <v>2015</v>
      </c>
      <c r="S305" s="78">
        <f ca="1">($O8-$E8+$O43-$E43)*Zalozenia!$C$45</f>
        <v>7158478.4418769302</v>
      </c>
      <c r="T305" s="78">
        <f>AA263</f>
        <v>-191131.67504483103</v>
      </c>
      <c r="U305" s="78">
        <f>T305-S305</f>
        <v>-7349610.1169217611</v>
      </c>
      <c r="V305" s="78">
        <f>N305</f>
        <v>0.95238095238095233</v>
      </c>
      <c r="W305" s="79">
        <f>U305*V305</f>
        <v>-6999628.6827826295</v>
      </c>
      <c r="Y305" s="12"/>
      <c r="Z305" s="13">
        <f>R305</f>
        <v>2015</v>
      </c>
      <c r="AA305" s="78">
        <f ca="1">($P8-$F8+$P43-$F43)*Zalozenia!$C$45</f>
        <v>4533391.4964060886</v>
      </c>
      <c r="AB305" s="78">
        <f>AK263</f>
        <v>-194994.52403312884</v>
      </c>
      <c r="AC305" s="78">
        <f>AB305-AA305</f>
        <v>-4728386.0204392178</v>
      </c>
      <c r="AD305" s="78">
        <f>V305</f>
        <v>0.95238095238095233</v>
      </c>
      <c r="AE305" s="79">
        <f>AC305*AD305</f>
        <v>-4503224.7813706836</v>
      </c>
      <c r="AG305" s="12"/>
      <c r="AH305" s="13">
        <f>Z305</f>
        <v>2015</v>
      </c>
      <c r="AI305" s="78">
        <f ca="1">($Q8-$G8+$Q43-$G43)*Zalozenia!$C$45</f>
        <v>5744364.2830961952</v>
      </c>
      <c r="AJ305" s="78">
        <f>AU263</f>
        <v>-255104.24650087804</v>
      </c>
      <c r="AK305" s="78">
        <f>AJ305-AI305</f>
        <v>-5999468.5295970729</v>
      </c>
      <c r="AL305" s="78">
        <f>AD305</f>
        <v>0.95238095238095233</v>
      </c>
      <c r="AM305" s="79">
        <f>AK305*AL305</f>
        <v>-5713779.5519972118</v>
      </c>
      <c r="AO305" s="12"/>
      <c r="AP305" s="13">
        <f>AH305</f>
        <v>2015</v>
      </c>
      <c r="AQ305" s="78">
        <f ca="1">($R8-$H8+$R43-$H43)*Zalozenia!$C$45</f>
        <v>0</v>
      </c>
      <c r="AR305" s="78">
        <f>BE263</f>
        <v>0</v>
      </c>
      <c r="AS305" s="78">
        <f>AR305-AQ305</f>
        <v>0</v>
      </c>
      <c r="AT305" s="78">
        <f>AL305</f>
        <v>0.95238095238095233</v>
      </c>
      <c r="AU305" s="79">
        <f>AS305*AT305</f>
        <v>0</v>
      </c>
    </row>
    <row r="306" spans="1:47" s="4" customFormat="1" ht="10.5">
      <c r="A306" s="12"/>
      <c r="B306" s="13">
        <f t="shared" si="199"/>
        <v>2016</v>
      </c>
      <c r="C306" s="78">
        <f ca="1">($M9-$C9+$M44-$C44)*Zalozenia!$C$45</f>
        <v>5906319.9749756493</v>
      </c>
      <c r="D306" s="78">
        <f t="shared" ref="D306:D334" si="200">G264</f>
        <v>-138463.63579486139</v>
      </c>
      <c r="E306" s="78">
        <f t="shared" ref="E306:E334" si="201">D306-C306</f>
        <v>-6044783.6107705105</v>
      </c>
      <c r="F306" s="78">
        <f t="shared" ref="F306:F334" si="202">H264</f>
        <v>0.90702947845804982</v>
      </c>
      <c r="G306" s="79">
        <f>E306*F306</f>
        <v>-5482796.9258689433</v>
      </c>
      <c r="I306" s="12"/>
      <c r="J306" s="13">
        <f t="shared" ref="J306:J334" si="203">B306</f>
        <v>2016</v>
      </c>
      <c r="K306" s="78">
        <f ca="1">($N9-$D9+$N44-$D44)*Zalozenia!$C$45</f>
        <v>13325080.042904481</v>
      </c>
      <c r="L306" s="78">
        <f t="shared" ref="L306:L334" si="204">Q264</f>
        <v>-372539.97635616473</v>
      </c>
      <c r="M306" s="78">
        <f t="shared" ref="M306:M334" si="205">L306-K306</f>
        <v>-13697620.019260647</v>
      </c>
      <c r="N306" s="78">
        <f t="shared" ref="N306:N334" si="206">F306</f>
        <v>0.90702947845804982</v>
      </c>
      <c r="O306" s="79">
        <f>M306*N306</f>
        <v>-12424145.142186526</v>
      </c>
      <c r="Q306" s="12"/>
      <c r="R306" s="13">
        <f t="shared" ref="R306:R334" si="207">J306</f>
        <v>2016</v>
      </c>
      <c r="S306" s="78">
        <f ca="1">($O9-$E9+$O44-$E44)*Zalozenia!$C$45</f>
        <v>7421055.2412729133</v>
      </c>
      <c r="T306" s="78">
        <f t="shared" ref="T306:T334" si="208">AA264</f>
        <v>-201699.28005949745</v>
      </c>
      <c r="U306" s="78">
        <f t="shared" ref="U306:U334" si="209">T306-S306</f>
        <v>-7622754.5213324111</v>
      </c>
      <c r="V306" s="78">
        <f t="shared" ref="V306:V334" si="210">N306</f>
        <v>0.90702947845804982</v>
      </c>
      <c r="W306" s="79">
        <f>U306*V306</f>
        <v>-6914063.0578978779</v>
      </c>
      <c r="Y306" s="12"/>
      <c r="Z306" s="13">
        <f t="shared" ref="Z306:Z334" si="211">R306</f>
        <v>2016</v>
      </c>
      <c r="AA306" s="78">
        <f ca="1">($P9-$F9+$P44-$F44)*Zalozenia!$C$45</f>
        <v>4704391.4039466521</v>
      </c>
      <c r="AB306" s="78">
        <f t="shared" ref="AB306:AB334" si="212">AK264</f>
        <v>-206740.59373969503</v>
      </c>
      <c r="AC306" s="78">
        <f t="shared" ref="AC306:AC334" si="213">AB306-AA306</f>
        <v>-4911131.997686347</v>
      </c>
      <c r="AD306" s="78">
        <f t="shared" ref="AD306:AD334" si="214">V306</f>
        <v>0.90702947845804982</v>
      </c>
      <c r="AE306" s="79">
        <f>AC306*AD306</f>
        <v>-4454541.4945000876</v>
      </c>
      <c r="AG306" s="12"/>
      <c r="AH306" s="13">
        <f t="shared" ref="AH306:AH334" si="215">Z306</f>
        <v>2016</v>
      </c>
      <c r="AI306" s="78">
        <f ca="1">($Q9-$G9+$Q44-$G44)*Zalozenia!$C$45</f>
        <v>5979004.7564659938</v>
      </c>
      <c r="AJ306" s="78">
        <f t="shared" ref="AJ306:AJ334" si="216">AU264</f>
        <v>-269193.30698636273</v>
      </c>
      <c r="AK306" s="78">
        <f t="shared" ref="AK306:AK334" si="217">AJ306-AI306</f>
        <v>-6248198.0634523565</v>
      </c>
      <c r="AL306" s="78">
        <f t="shared" ref="AL306:AL334" si="218">AD306</f>
        <v>0.90702947845804982</v>
      </c>
      <c r="AM306" s="79">
        <f>AK306*AL306</f>
        <v>-5667299.8307957882</v>
      </c>
      <c r="AO306" s="12"/>
      <c r="AP306" s="13">
        <f t="shared" ref="AP306:AP334" si="219">AH306</f>
        <v>2016</v>
      </c>
      <c r="AQ306" s="78">
        <f ca="1">($R9-$H9+$R44-$H44)*Zalozenia!$C$45</f>
        <v>0</v>
      </c>
      <c r="AR306" s="78">
        <f t="shared" ref="AR306:AR334" si="220">BE264</f>
        <v>0</v>
      </c>
      <c r="AS306" s="78">
        <f t="shared" ref="AS306:AS334" si="221">AR306-AQ306</f>
        <v>0</v>
      </c>
      <c r="AT306" s="78">
        <f t="shared" ref="AT306:AT334" si="222">AL306</f>
        <v>0.90702947845804982</v>
      </c>
      <c r="AU306" s="79">
        <f>AS306*AT306</f>
        <v>0</v>
      </c>
    </row>
    <row r="307" spans="1:47" s="4" customFormat="1" ht="10.5">
      <c r="A307" s="12"/>
      <c r="B307" s="13">
        <f t="shared" si="199"/>
        <v>2017</v>
      </c>
      <c r="C307" s="78">
        <f ca="1">($M10-$C10+$M45-$C45)*Zalozenia!$C$45</f>
        <v>6142109.9033931298</v>
      </c>
      <c r="D307" s="78">
        <f t="shared" si="200"/>
        <v>-146619.29763658898</v>
      </c>
      <c r="E307" s="78">
        <f t="shared" si="201"/>
        <v>-6288729.2010297189</v>
      </c>
      <c r="F307" s="78">
        <f t="shared" si="202"/>
        <v>0.86383759853147601</v>
      </c>
      <c r="G307" s="79">
        <f t="shared" ref="G307:G334" si="223">E307*F307</f>
        <v>-5432440.7308322806</v>
      </c>
      <c r="I307" s="12"/>
      <c r="J307" s="13">
        <f t="shared" si="203"/>
        <v>2017</v>
      </c>
      <c r="K307" s="78">
        <f ca="1">($N10-$D10+$N45-$D45)*Zalozenia!$C$45</f>
        <v>13840909.589251196</v>
      </c>
      <c r="L307" s="78">
        <f t="shared" si="204"/>
        <v>-394640.74336403771</v>
      </c>
      <c r="M307" s="78">
        <f t="shared" si="205"/>
        <v>-14235550.332615234</v>
      </c>
      <c r="N307" s="78">
        <f t="shared" si="206"/>
        <v>0.86383759853147601</v>
      </c>
      <c r="O307" s="79">
        <f t="shared" ref="O307:O334" si="224">M307*N307</f>
        <v>-12297203.613100298</v>
      </c>
      <c r="Q307" s="12"/>
      <c r="R307" s="13">
        <f t="shared" si="207"/>
        <v>2017</v>
      </c>
      <c r="S307" s="78">
        <f ca="1">($O10-$E10+$O45-$E45)*Zalozenia!$C$45</f>
        <v>7695847.7502515893</v>
      </c>
      <c r="T307" s="78">
        <f t="shared" si="208"/>
        <v>-212751.16857031232</v>
      </c>
      <c r="U307" s="78">
        <f t="shared" si="209"/>
        <v>-7908598.918821902</v>
      </c>
      <c r="V307" s="78">
        <f t="shared" si="210"/>
        <v>0.86383759853147601</v>
      </c>
      <c r="W307" s="79">
        <f t="shared" ref="W307:W334" si="225">U307*V307</f>
        <v>-6831745.0977837397</v>
      </c>
      <c r="Y307" s="12"/>
      <c r="Z307" s="13">
        <f t="shared" si="211"/>
        <v>2017</v>
      </c>
      <c r="AA307" s="78">
        <f ca="1">($P10-$F10+$P45-$F45)*Zalozenia!$C$45</f>
        <v>4883358.7421372477</v>
      </c>
      <c r="AB307" s="78">
        <f t="shared" si="212"/>
        <v>-219058.65053600111</v>
      </c>
      <c r="AC307" s="78">
        <f t="shared" si="213"/>
        <v>-5102417.3926732484</v>
      </c>
      <c r="AD307" s="78">
        <f t="shared" si="214"/>
        <v>0.86383759853147601</v>
      </c>
      <c r="AE307" s="79">
        <f t="shared" ref="AE307:AE334" si="226">AC307*AD307</f>
        <v>-4407659.9871920943</v>
      </c>
      <c r="AG307" s="12"/>
      <c r="AH307" s="13">
        <f t="shared" si="215"/>
        <v>2017</v>
      </c>
      <c r="AI307" s="78">
        <f ca="1">($Q10-$G10+$Q45-$G45)*Zalozenia!$C$45</f>
        <v>6224622.726445335</v>
      </c>
      <c r="AJ307" s="78">
        <f t="shared" si="216"/>
        <v>-283932.90038127272</v>
      </c>
      <c r="AK307" s="78">
        <f t="shared" si="217"/>
        <v>-6508555.6268266076</v>
      </c>
      <c r="AL307" s="78">
        <f t="shared" si="218"/>
        <v>0.86383759853147601</v>
      </c>
      <c r="AM307" s="79">
        <f t="shared" ref="AM307:AM334" si="227">AK307*AL307</f>
        <v>-5622335.0625864221</v>
      </c>
      <c r="AO307" s="12"/>
      <c r="AP307" s="13">
        <f t="shared" si="219"/>
        <v>2017</v>
      </c>
      <c r="AQ307" s="78">
        <f ca="1">($R10-$H10+$R45-$H45)*Zalozenia!$C$45</f>
        <v>0</v>
      </c>
      <c r="AR307" s="78">
        <f t="shared" si="220"/>
        <v>0</v>
      </c>
      <c r="AS307" s="78">
        <f t="shared" si="221"/>
        <v>0</v>
      </c>
      <c r="AT307" s="78">
        <f t="shared" si="222"/>
        <v>0.86383759853147601</v>
      </c>
      <c r="AU307" s="79">
        <f t="shared" ref="AU307:AU334" si="228">AS307*AT307</f>
        <v>0</v>
      </c>
    </row>
    <row r="308" spans="1:47" s="4" customFormat="1" ht="10.5">
      <c r="A308" s="12"/>
      <c r="B308" s="13">
        <f t="shared" si="199"/>
        <v>2018</v>
      </c>
      <c r="C308" s="78">
        <f ca="1">($M11-$C11+$M46-$C46)*Zalozenia!$C$45</f>
        <v>6388918.5021813763</v>
      </c>
      <c r="D308" s="78">
        <f t="shared" si="200"/>
        <v>-154605.88318820181</v>
      </c>
      <c r="E308" s="78">
        <f t="shared" si="201"/>
        <v>-6543524.3853695784</v>
      </c>
      <c r="F308" s="78">
        <f t="shared" si="202"/>
        <v>0.82270247479188197</v>
      </c>
      <c r="G308" s="79">
        <f t="shared" si="223"/>
        <v>-5383373.7057045801</v>
      </c>
      <c r="I308" s="12"/>
      <c r="J308" s="13">
        <f t="shared" si="203"/>
        <v>2018</v>
      </c>
      <c r="K308" s="78">
        <f ca="1">($N11-$D11+$N46-$D46)*Zalozenia!$C$45</f>
        <v>14380806.251989627</v>
      </c>
      <c r="L308" s="78">
        <f t="shared" si="204"/>
        <v>-416004.50238079356</v>
      </c>
      <c r="M308" s="78">
        <f t="shared" si="205"/>
        <v>-14796810.754370421</v>
      </c>
      <c r="N308" s="78">
        <f t="shared" si="206"/>
        <v>0.82270247479188197</v>
      </c>
      <c r="O308" s="79">
        <f t="shared" si="224"/>
        <v>-12173372.82664768</v>
      </c>
      <c r="Q308" s="12"/>
      <c r="R308" s="13">
        <f t="shared" si="207"/>
        <v>2018</v>
      </c>
      <c r="S308" s="78">
        <f ca="1">($O11-$E11+$O46-$E46)*Zalozenia!$C$45</f>
        <v>7983430.9085134063</v>
      </c>
      <c r="T308" s="78">
        <f t="shared" si="208"/>
        <v>-223333.30388833073</v>
      </c>
      <c r="U308" s="78">
        <f t="shared" si="209"/>
        <v>-8206764.2124017375</v>
      </c>
      <c r="V308" s="78">
        <f t="shared" si="210"/>
        <v>0.82270247479188197</v>
      </c>
      <c r="W308" s="79">
        <f t="shared" si="225"/>
        <v>-6751725.2275763592</v>
      </c>
      <c r="Y308" s="12"/>
      <c r="Z308" s="13">
        <f t="shared" si="211"/>
        <v>2018</v>
      </c>
      <c r="AA308" s="78">
        <f ca="1">($P11-$F11+$P46-$F46)*Zalozenia!$C$45</f>
        <v>5070668.5273771975</v>
      </c>
      <c r="AB308" s="78">
        <f t="shared" si="212"/>
        <v>-230976.23556039971</v>
      </c>
      <c r="AC308" s="78">
        <f t="shared" si="213"/>
        <v>-5301644.762937597</v>
      </c>
      <c r="AD308" s="78">
        <f t="shared" si="214"/>
        <v>0.82270247479188197</v>
      </c>
      <c r="AE308" s="79">
        <f t="shared" si="226"/>
        <v>-4361676.2669361811</v>
      </c>
      <c r="AG308" s="12"/>
      <c r="AH308" s="13">
        <f t="shared" si="215"/>
        <v>2018</v>
      </c>
      <c r="AI308" s="78">
        <f ca="1">($Q11-$G11+$Q46-$G46)*Zalozenia!$C$45</f>
        <v>6481734.9799029967</v>
      </c>
      <c r="AJ308" s="78">
        <f t="shared" si="216"/>
        <v>-298082.89621475682</v>
      </c>
      <c r="AK308" s="78">
        <f t="shared" si="217"/>
        <v>-6779817.8761177538</v>
      </c>
      <c r="AL308" s="78">
        <f t="shared" si="218"/>
        <v>0.82270247479188197</v>
      </c>
      <c r="AM308" s="79">
        <f t="shared" si="227"/>
        <v>-5577772.9453203175</v>
      </c>
      <c r="AO308" s="12"/>
      <c r="AP308" s="13">
        <f t="shared" si="219"/>
        <v>2018</v>
      </c>
      <c r="AQ308" s="78">
        <f ca="1">($R11-$H11+$R46-$H46)*Zalozenia!$C$45</f>
        <v>0</v>
      </c>
      <c r="AR308" s="78">
        <f t="shared" si="220"/>
        <v>0</v>
      </c>
      <c r="AS308" s="78">
        <f t="shared" si="221"/>
        <v>0</v>
      </c>
      <c r="AT308" s="78">
        <f t="shared" si="222"/>
        <v>0.82270247479188197</v>
      </c>
      <c r="AU308" s="79">
        <f t="shared" si="228"/>
        <v>0</v>
      </c>
    </row>
    <row r="309" spans="1:47" s="4" customFormat="1" ht="10.5">
      <c r="A309" s="12"/>
      <c r="B309" s="13">
        <f t="shared" si="199"/>
        <v>2019</v>
      </c>
      <c r="C309" s="78">
        <f ca="1">($M12-$C12+$M47-$C47)*Zalozenia!$C$45</f>
        <v>6647264.4711734401</v>
      </c>
      <c r="D309" s="78">
        <f t="shared" si="200"/>
        <v>-162963.23215448429</v>
      </c>
      <c r="E309" s="78">
        <f t="shared" si="201"/>
        <v>-6810227.703327924</v>
      </c>
      <c r="F309" s="78">
        <f t="shared" si="202"/>
        <v>0.78352616646845896</v>
      </c>
      <c r="G309" s="79">
        <f t="shared" si="223"/>
        <v>-5335991.6051658262</v>
      </c>
      <c r="I309" s="12"/>
      <c r="J309" s="13">
        <f t="shared" si="203"/>
        <v>2019</v>
      </c>
      <c r="K309" s="78">
        <f ca="1">($N12-$D12+$N47-$D47)*Zalozenia!$C$45</f>
        <v>14945902.905036777</v>
      </c>
      <c r="L309" s="78">
        <f t="shared" si="204"/>
        <v>-438301.81302088127</v>
      </c>
      <c r="M309" s="78">
        <f t="shared" si="205"/>
        <v>-15384204.718057659</v>
      </c>
      <c r="N309" s="78">
        <f t="shared" si="206"/>
        <v>0.78352616646845896</v>
      </c>
      <c r="O309" s="79">
        <f t="shared" si="224"/>
        <v>-12053926.946905697</v>
      </c>
      <c r="Q309" s="12"/>
      <c r="R309" s="13">
        <f t="shared" si="207"/>
        <v>2019</v>
      </c>
      <c r="S309" s="78">
        <f ca="1">($O12-$E12+$O47-$E47)*Zalozenia!$C$45</f>
        <v>8284406.7290731724</v>
      </c>
      <c r="T309" s="78">
        <f t="shared" si="208"/>
        <v>-234354.36854888019</v>
      </c>
      <c r="U309" s="78">
        <f t="shared" si="209"/>
        <v>-8518761.0976220518</v>
      </c>
      <c r="V309" s="78">
        <f t="shared" si="210"/>
        <v>0.78352616646845896</v>
      </c>
      <c r="W309" s="79">
        <f t="shared" si="225"/>
        <v>-6674672.2258804478</v>
      </c>
      <c r="Y309" s="12"/>
      <c r="Z309" s="13">
        <f t="shared" si="211"/>
        <v>2019</v>
      </c>
      <c r="AA309" s="78">
        <f ca="1">($P12-$F12+$P47-$F47)*Zalozenia!$C$45</f>
        <v>5266713.4352482399</v>
      </c>
      <c r="AB309" s="78">
        <f t="shared" si="212"/>
        <v>-243419.90921465115</v>
      </c>
      <c r="AC309" s="78">
        <f t="shared" si="213"/>
        <v>-5510133.3444628911</v>
      </c>
      <c r="AD309" s="78">
        <f t="shared" si="214"/>
        <v>0.78352616646845896</v>
      </c>
      <c r="AE309" s="79">
        <f t="shared" si="226"/>
        <v>-4317333.6561170379</v>
      </c>
      <c r="AG309" s="12"/>
      <c r="AH309" s="13">
        <f t="shared" si="215"/>
        <v>2019</v>
      </c>
      <c r="AI309" s="78">
        <f ca="1">($Q12-$G12+$Q47-$G47)*Zalozenia!$C$45</f>
        <v>6750882.6389145199</v>
      </c>
      <c r="AJ309" s="78">
        <f t="shared" si="216"/>
        <v>-312826.14342193992</v>
      </c>
      <c r="AK309" s="78">
        <f t="shared" si="217"/>
        <v>-7063708.7823364595</v>
      </c>
      <c r="AL309" s="78">
        <f t="shared" si="218"/>
        <v>0.78352616646845896</v>
      </c>
      <c r="AM309" s="79">
        <f t="shared" si="227"/>
        <v>-5534600.6632736726</v>
      </c>
      <c r="AO309" s="12"/>
      <c r="AP309" s="13">
        <f t="shared" si="219"/>
        <v>2019</v>
      </c>
      <c r="AQ309" s="78">
        <f ca="1">($R12-$H12+$R47-$H47)*Zalozenia!$C$45</f>
        <v>0</v>
      </c>
      <c r="AR309" s="78">
        <f t="shared" si="220"/>
        <v>0</v>
      </c>
      <c r="AS309" s="78">
        <f t="shared" si="221"/>
        <v>0</v>
      </c>
      <c r="AT309" s="78">
        <f t="shared" si="222"/>
        <v>0.78352616646845896</v>
      </c>
      <c r="AU309" s="79">
        <f t="shared" si="228"/>
        <v>0</v>
      </c>
    </row>
    <row r="310" spans="1:47" s="4" customFormat="1" ht="10.5">
      <c r="A310" s="12"/>
      <c r="B310" s="13">
        <f t="shared" si="199"/>
        <v>2020</v>
      </c>
      <c r="C310" s="78">
        <f ca="1">($M13-$C13+$M48-$C48)*Zalozenia!$C$45</f>
        <v>6917690.9354387876</v>
      </c>
      <c r="D310" s="78">
        <f t="shared" si="200"/>
        <v>-174652.14342397149</v>
      </c>
      <c r="E310" s="78">
        <f t="shared" si="201"/>
        <v>-7092343.0788627593</v>
      </c>
      <c r="F310" s="78">
        <f t="shared" si="202"/>
        <v>0.74621539663662761</v>
      </c>
      <c r="G310" s="79">
        <f t="shared" si="223"/>
        <v>-5292415.6036766144</v>
      </c>
      <c r="I310" s="12"/>
      <c r="J310" s="13">
        <f t="shared" si="203"/>
        <v>2020</v>
      </c>
      <c r="K310" s="78">
        <f ca="1">($N13-$D13+$N48-$D48)*Zalozenia!$C$45</f>
        <v>15537385.768449187</v>
      </c>
      <c r="L310" s="78">
        <f t="shared" si="204"/>
        <v>-472066.81687840371</v>
      </c>
      <c r="M310" s="78">
        <f t="shared" si="205"/>
        <v>-16009452.585327592</v>
      </c>
      <c r="N310" s="78">
        <f t="shared" si="206"/>
        <v>0.74621539663662761</v>
      </c>
      <c r="O310" s="79">
        <f t="shared" si="224"/>
        <v>-11946500.010895513</v>
      </c>
      <c r="Q310" s="12"/>
      <c r="R310" s="13">
        <f t="shared" si="207"/>
        <v>2020</v>
      </c>
      <c r="S310" s="78">
        <f ca="1">($O13-$E13+$O48-$E48)*Zalozenia!$C$45</f>
        <v>8599405.5731412619</v>
      </c>
      <c r="T310" s="78">
        <f t="shared" si="208"/>
        <v>-251500.29989796475</v>
      </c>
      <c r="U310" s="78">
        <f t="shared" si="209"/>
        <v>-8850905.873039227</v>
      </c>
      <c r="V310" s="78">
        <f t="shared" si="210"/>
        <v>0.74621539663662761</v>
      </c>
      <c r="W310" s="79">
        <f t="shared" si="225"/>
        <v>-6604682.2366434233</v>
      </c>
      <c r="Y310" s="12"/>
      <c r="Z310" s="13">
        <f t="shared" si="211"/>
        <v>2020</v>
      </c>
      <c r="AA310" s="78">
        <f ca="1">($P13-$F13+$P48-$F48)*Zalozenia!$C$45</f>
        <v>5471904.6320847673</v>
      </c>
      <c r="AB310" s="78">
        <f t="shared" si="212"/>
        <v>-262229.95458027476</v>
      </c>
      <c r="AC310" s="78">
        <f t="shared" si="213"/>
        <v>-5734134.5866650417</v>
      </c>
      <c r="AD310" s="78">
        <f t="shared" si="214"/>
        <v>0.74621539663662761</v>
      </c>
      <c r="AE310" s="79">
        <f t="shared" si="226"/>
        <v>-4278899.5149560589</v>
      </c>
      <c r="AG310" s="12"/>
      <c r="AH310" s="13">
        <f t="shared" si="215"/>
        <v>2020</v>
      </c>
      <c r="AI310" s="78">
        <f ca="1">($Q13-$G13+$Q48-$G48)*Zalozenia!$C$45</f>
        <v>7032632.3067065105</v>
      </c>
      <c r="AJ310" s="78">
        <f t="shared" si="216"/>
        <v>-335407.47040404199</v>
      </c>
      <c r="AK310" s="78">
        <f t="shared" si="217"/>
        <v>-7368039.7771105524</v>
      </c>
      <c r="AL310" s="78">
        <f t="shared" si="218"/>
        <v>0.74621539663662761</v>
      </c>
      <c r="AM310" s="79">
        <f t="shared" si="227"/>
        <v>-5498144.724711</v>
      </c>
      <c r="AO310" s="12"/>
      <c r="AP310" s="13">
        <f t="shared" si="219"/>
        <v>2020</v>
      </c>
      <c r="AQ310" s="78">
        <f ca="1">($R13-$H13+$R48-$H48)*Zalozenia!$C$45</f>
        <v>0</v>
      </c>
      <c r="AR310" s="78">
        <f t="shared" si="220"/>
        <v>0</v>
      </c>
      <c r="AS310" s="78">
        <f t="shared" si="221"/>
        <v>0</v>
      </c>
      <c r="AT310" s="78">
        <f t="shared" si="222"/>
        <v>0.74621539663662761</v>
      </c>
      <c r="AU310" s="79">
        <f t="shared" si="228"/>
        <v>0</v>
      </c>
    </row>
    <row r="311" spans="1:47" s="4" customFormat="1" ht="10.5">
      <c r="A311" s="12"/>
      <c r="B311" s="13">
        <f t="shared" si="199"/>
        <v>2021</v>
      </c>
      <c r="C311" s="78">
        <f ca="1">($M14-$C14+$M49-$C49)*Zalozenia!$C$45</f>
        <v>7081104.2496193079</v>
      </c>
      <c r="D311" s="78">
        <f t="shared" si="200"/>
        <v>-187180.79059449729</v>
      </c>
      <c r="E311" s="78">
        <f t="shared" si="201"/>
        <v>-7268285.0402138056</v>
      </c>
      <c r="F311" s="78">
        <f t="shared" si="202"/>
        <v>0.71068133013012147</v>
      </c>
      <c r="G311" s="79">
        <f t="shared" si="223"/>
        <v>-5165434.4801440109</v>
      </c>
      <c r="I311" s="12"/>
      <c r="J311" s="13">
        <f t="shared" si="203"/>
        <v>2021</v>
      </c>
      <c r="K311" s="78">
        <f ca="1">($N14-$D14+$N49-$D49)*Zalozenia!$C$45</f>
        <v>15895147.418044331</v>
      </c>
      <c r="L311" s="78">
        <f t="shared" si="204"/>
        <v>-508458.54959533794</v>
      </c>
      <c r="M311" s="78">
        <f t="shared" si="205"/>
        <v>-16403605.967639668</v>
      </c>
      <c r="N311" s="78">
        <f t="shared" si="206"/>
        <v>0.71068133013012147</v>
      </c>
      <c r="O311" s="79">
        <f t="shared" si="224"/>
        <v>-11657736.508012557</v>
      </c>
      <c r="Q311" s="12"/>
      <c r="R311" s="13">
        <f t="shared" si="207"/>
        <v>2021</v>
      </c>
      <c r="S311" s="78">
        <f ca="1">($O14-$E14+$O49-$E49)*Zalozenia!$C$45</f>
        <v>8790206.1069271881</v>
      </c>
      <c r="T311" s="78">
        <f t="shared" si="208"/>
        <v>-269929.37011819088</v>
      </c>
      <c r="U311" s="78">
        <f t="shared" si="209"/>
        <v>-9060135.4770453796</v>
      </c>
      <c r="V311" s="78">
        <f t="shared" si="210"/>
        <v>0.71068133013012147</v>
      </c>
      <c r="W311" s="79">
        <f t="shared" si="225"/>
        <v>-6438869.1319857128</v>
      </c>
      <c r="Y311" s="12"/>
      <c r="Z311" s="13">
        <f t="shared" si="211"/>
        <v>2021</v>
      </c>
      <c r="AA311" s="78">
        <f ca="1">($P14-$F14+$P49-$F49)*Zalozenia!$C$45</f>
        <v>5596084.1104343431</v>
      </c>
      <c r="AB311" s="78">
        <f t="shared" si="212"/>
        <v>-282499.7372138513</v>
      </c>
      <c r="AC311" s="78">
        <f t="shared" si="213"/>
        <v>-5878583.8476481941</v>
      </c>
      <c r="AD311" s="78">
        <f t="shared" si="214"/>
        <v>0.71068133013012147</v>
      </c>
      <c r="AE311" s="79">
        <f t="shared" si="226"/>
        <v>-4177799.7881280659</v>
      </c>
      <c r="AG311" s="12"/>
      <c r="AH311" s="13">
        <f t="shared" si="215"/>
        <v>2021</v>
      </c>
      <c r="AI311" s="78">
        <f ca="1">($Q14-$G14+$Q49-$G49)*Zalozenia!$C$45</f>
        <v>7202741.8470107839</v>
      </c>
      <c r="AJ311" s="78">
        <f t="shared" si="216"/>
        <v>-359658.034867145</v>
      </c>
      <c r="AK311" s="78">
        <f t="shared" si="217"/>
        <v>-7562399.881877929</v>
      </c>
      <c r="AL311" s="78">
        <f t="shared" si="218"/>
        <v>0.71068133013012147</v>
      </c>
      <c r="AM311" s="79">
        <f t="shared" si="227"/>
        <v>-5374456.40702888</v>
      </c>
      <c r="AO311" s="12"/>
      <c r="AP311" s="13">
        <f t="shared" si="219"/>
        <v>2021</v>
      </c>
      <c r="AQ311" s="78">
        <f ca="1">($R14-$H14+$R49-$H49)*Zalozenia!$C$45</f>
        <v>0</v>
      </c>
      <c r="AR311" s="78">
        <f t="shared" si="220"/>
        <v>0</v>
      </c>
      <c r="AS311" s="78">
        <f t="shared" si="221"/>
        <v>0</v>
      </c>
      <c r="AT311" s="78">
        <f t="shared" si="222"/>
        <v>0.71068133013012147</v>
      </c>
      <c r="AU311" s="79">
        <f t="shared" si="228"/>
        <v>0</v>
      </c>
    </row>
    <row r="312" spans="1:47" s="4" customFormat="1" ht="10.5">
      <c r="A312" s="12"/>
      <c r="B312" s="13">
        <f t="shared" si="199"/>
        <v>2022</v>
      </c>
      <c r="C312" s="78">
        <f ca="1">($M15-$C15+$M50-$C50)*Zalozenia!$C$45</f>
        <v>7248890.4734971682</v>
      </c>
      <c r="D312" s="78">
        <f t="shared" si="200"/>
        <v>-200450.59030393773</v>
      </c>
      <c r="E312" s="78">
        <f t="shared" si="201"/>
        <v>-7449341.0638011061</v>
      </c>
      <c r="F312" s="78">
        <f t="shared" si="202"/>
        <v>0.67683936202868722</v>
      </c>
      <c r="G312" s="79">
        <f t="shared" si="223"/>
        <v>-5042007.2531572431</v>
      </c>
      <c r="I312" s="12"/>
      <c r="J312" s="13">
        <f t="shared" si="203"/>
        <v>2022</v>
      </c>
      <c r="K312" s="78">
        <f ca="1">($N15-$D15+$N50-$D50)*Zalozenia!$C$45</f>
        <v>16262461.470990136</v>
      </c>
      <c r="L312" s="78">
        <f t="shared" si="204"/>
        <v>-547045.88478323305</v>
      </c>
      <c r="M312" s="78">
        <f t="shared" si="205"/>
        <v>-16809507.355773371</v>
      </c>
      <c r="N312" s="78">
        <f t="shared" si="206"/>
        <v>0.67683936202868722</v>
      </c>
      <c r="O312" s="79">
        <f t="shared" si="224"/>
        <v>-11377336.234698173</v>
      </c>
      <c r="Q312" s="12"/>
      <c r="R312" s="13">
        <f t="shared" si="207"/>
        <v>2022</v>
      </c>
      <c r="S312" s="78">
        <f ca="1">($O15-$E15+$O50-$E50)*Zalozenia!$C$45</f>
        <v>8986084.1683780942</v>
      </c>
      <c r="T312" s="78">
        <f t="shared" si="208"/>
        <v>-289420.07152517792</v>
      </c>
      <c r="U312" s="78">
        <f t="shared" si="209"/>
        <v>-9275504.2399032712</v>
      </c>
      <c r="V312" s="78">
        <f t="shared" si="210"/>
        <v>0.67683936202868722</v>
      </c>
      <c r="W312" s="79">
        <f t="shared" si="225"/>
        <v>-6278026.372230513</v>
      </c>
      <c r="Y312" s="12"/>
      <c r="Z312" s="13">
        <f t="shared" si="211"/>
        <v>2022</v>
      </c>
      <c r="AA312" s="78">
        <f ca="1">($P15-$F15+$P50-$F50)*Zalozenia!$C$45</f>
        <v>5723574.9725893745</v>
      </c>
      <c r="AB312" s="78">
        <f t="shared" si="212"/>
        <v>-304001.22608248395</v>
      </c>
      <c r="AC312" s="78">
        <f t="shared" si="213"/>
        <v>-6027576.1986718588</v>
      </c>
      <c r="AD312" s="78">
        <f t="shared" si="214"/>
        <v>0.67683936202868722</v>
      </c>
      <c r="AE312" s="79">
        <f t="shared" si="226"/>
        <v>-4079700.8288883604</v>
      </c>
      <c r="AG312" s="12"/>
      <c r="AH312" s="13">
        <f t="shared" si="215"/>
        <v>2022</v>
      </c>
      <c r="AI312" s="78">
        <f ca="1">($Q15-$G15+$Q50-$G50)*Zalozenia!$C$45</f>
        <v>7377412.6040531043</v>
      </c>
      <c r="AJ312" s="78">
        <f t="shared" si="216"/>
        <v>-385299.70600619999</v>
      </c>
      <c r="AK312" s="78">
        <f t="shared" si="217"/>
        <v>-7762712.3100593043</v>
      </c>
      <c r="AL312" s="78">
        <f t="shared" si="218"/>
        <v>0.67683936202868722</v>
      </c>
      <c r="AM312" s="79">
        <f t="shared" si="227"/>
        <v>-5254109.2475527767</v>
      </c>
      <c r="AO312" s="12"/>
      <c r="AP312" s="13">
        <f t="shared" si="219"/>
        <v>2022</v>
      </c>
      <c r="AQ312" s="78">
        <f ca="1">($R15-$H15+$R50-$H50)*Zalozenia!$C$45</f>
        <v>0</v>
      </c>
      <c r="AR312" s="78">
        <f t="shared" si="220"/>
        <v>0</v>
      </c>
      <c r="AS312" s="78">
        <f t="shared" si="221"/>
        <v>0</v>
      </c>
      <c r="AT312" s="78">
        <f t="shared" si="222"/>
        <v>0.67683936202868722</v>
      </c>
      <c r="AU312" s="79">
        <f t="shared" si="228"/>
        <v>0</v>
      </c>
    </row>
    <row r="313" spans="1:47" s="4" customFormat="1" ht="10.5">
      <c r="A313" s="12"/>
      <c r="B313" s="13">
        <f t="shared" si="199"/>
        <v>2023</v>
      </c>
      <c r="C313" s="78">
        <f ca="1">($M16-$C16+$M51-$C51)*Zalozenia!$C$45</f>
        <v>7421167.7994387709</v>
      </c>
      <c r="D313" s="78">
        <f t="shared" si="200"/>
        <v>-214541.38902097597</v>
      </c>
      <c r="E313" s="78">
        <f t="shared" si="201"/>
        <v>-7635709.1884597465</v>
      </c>
      <c r="F313" s="78">
        <f t="shared" si="202"/>
        <v>0.64460891621779726</v>
      </c>
      <c r="G313" s="79">
        <f t="shared" si="223"/>
        <v>-4922046.2245273134</v>
      </c>
      <c r="I313" s="12"/>
      <c r="J313" s="13">
        <f t="shared" si="203"/>
        <v>2023</v>
      </c>
      <c r="K313" s="78">
        <f ca="1">($N16-$D16+$N51-$D51)*Zalozenia!$C$45</f>
        <v>16639586.069698699</v>
      </c>
      <c r="L313" s="78">
        <f t="shared" si="204"/>
        <v>-588107.66331806825</v>
      </c>
      <c r="M313" s="78">
        <f t="shared" si="205"/>
        <v>-17227693.733016767</v>
      </c>
      <c r="N313" s="78">
        <f t="shared" si="206"/>
        <v>0.64460891621779726</v>
      </c>
      <c r="O313" s="79">
        <f t="shared" si="224"/>
        <v>-11105124.986172076</v>
      </c>
      <c r="Q313" s="12"/>
      <c r="R313" s="13">
        <f t="shared" si="207"/>
        <v>2023</v>
      </c>
      <c r="S313" s="78">
        <f ca="1">($O16-$E16+$O51-$E51)*Zalozenia!$C$45</f>
        <v>9187176.9373637605</v>
      </c>
      <c r="T313" s="78">
        <f t="shared" si="208"/>
        <v>-310108.2618634887</v>
      </c>
      <c r="U313" s="78">
        <f t="shared" si="209"/>
        <v>-9497285.1992272492</v>
      </c>
      <c r="V313" s="78">
        <f t="shared" si="210"/>
        <v>0.64460891621779726</v>
      </c>
      <c r="W313" s="79">
        <f t="shared" si="225"/>
        <v>-6122034.7192852041</v>
      </c>
      <c r="Y313" s="12"/>
      <c r="Z313" s="13">
        <f t="shared" si="211"/>
        <v>2023</v>
      </c>
      <c r="AA313" s="78">
        <f ca="1">($P16-$F16+$P51-$F51)*Zalozenia!$C$45</f>
        <v>5854466.6961396383</v>
      </c>
      <c r="AB313" s="78">
        <f t="shared" si="212"/>
        <v>-326887.23515304562</v>
      </c>
      <c r="AC313" s="78">
        <f t="shared" si="213"/>
        <v>-6181353.9312926838</v>
      </c>
      <c r="AD313" s="78">
        <f t="shared" si="214"/>
        <v>0.64460891621779726</v>
      </c>
      <c r="AE313" s="79">
        <f t="shared" si="226"/>
        <v>-3984555.8584091975</v>
      </c>
      <c r="AG313" s="12"/>
      <c r="AH313" s="13">
        <f t="shared" si="215"/>
        <v>2023</v>
      </c>
      <c r="AI313" s="78">
        <f ca="1">($Q16-$G16+$Q51-$G51)*Zalozenia!$C$45</f>
        <v>7556767.8782535847</v>
      </c>
      <c r="AJ313" s="78">
        <f t="shared" si="216"/>
        <v>-412506.7525360345</v>
      </c>
      <c r="AK313" s="78">
        <f t="shared" si="217"/>
        <v>-7969274.6307896189</v>
      </c>
      <c r="AL313" s="78">
        <f t="shared" si="218"/>
        <v>0.64460891621779726</v>
      </c>
      <c r="AM313" s="79">
        <f t="shared" si="227"/>
        <v>-5137065.4827952823</v>
      </c>
      <c r="AO313" s="12"/>
      <c r="AP313" s="13">
        <f t="shared" si="219"/>
        <v>2023</v>
      </c>
      <c r="AQ313" s="78">
        <f ca="1">($R16-$H16+$R51-$H51)*Zalozenia!$C$45</f>
        <v>0</v>
      </c>
      <c r="AR313" s="78">
        <f t="shared" si="220"/>
        <v>0</v>
      </c>
      <c r="AS313" s="78">
        <f t="shared" si="221"/>
        <v>0</v>
      </c>
      <c r="AT313" s="78">
        <f t="shared" si="222"/>
        <v>0.64460891621779726</v>
      </c>
      <c r="AU313" s="79">
        <f t="shared" si="228"/>
        <v>0</v>
      </c>
    </row>
    <row r="314" spans="1:47" s="4" customFormat="1" ht="10.5">
      <c r="A314" s="12"/>
      <c r="B314" s="13">
        <f t="shared" si="199"/>
        <v>2024</v>
      </c>
      <c r="C314" s="78">
        <f ca="1">($M17-$C17+$M52-$C52)*Zalozenia!$C$45</f>
        <v>7598057.6167243673</v>
      </c>
      <c r="D314" s="78">
        <f t="shared" si="200"/>
        <v>-229428.72699828967</v>
      </c>
      <c r="E314" s="78">
        <f t="shared" si="201"/>
        <v>-7827486.3437226573</v>
      </c>
      <c r="F314" s="78">
        <f t="shared" si="202"/>
        <v>0.61391325354075932</v>
      </c>
      <c r="G314" s="79">
        <f t="shared" si="223"/>
        <v>-4805397.6083206385</v>
      </c>
      <c r="I314" s="12"/>
      <c r="J314" s="13">
        <f t="shared" si="203"/>
        <v>2024</v>
      </c>
      <c r="K314" s="78">
        <f ca="1">($N17-$D17+$N52-$D52)*Zalozenia!$C$45</f>
        <v>17026786.338834167</v>
      </c>
      <c r="L314" s="78">
        <f t="shared" si="204"/>
        <v>-631504.49644197372</v>
      </c>
      <c r="M314" s="78">
        <f t="shared" si="205"/>
        <v>-17658290.835276142</v>
      </c>
      <c r="N314" s="78">
        <f t="shared" si="206"/>
        <v>0.61391325354075932</v>
      </c>
      <c r="O314" s="79">
        <f t="shared" si="224"/>
        <v>-10840658.778653348</v>
      </c>
      <c r="Q314" s="12"/>
      <c r="R314" s="13">
        <f t="shared" si="207"/>
        <v>2024</v>
      </c>
      <c r="S314" s="78">
        <f ca="1">($O17-$E17+$O52-$E52)*Zalozenia!$C$45</f>
        <v>9393625.30413495</v>
      </c>
      <c r="T314" s="78">
        <f t="shared" si="208"/>
        <v>-331920.86494314449</v>
      </c>
      <c r="U314" s="78">
        <f t="shared" si="209"/>
        <v>-9725546.1690780949</v>
      </c>
      <c r="V314" s="78">
        <f t="shared" si="210"/>
        <v>0.61391325354075932</v>
      </c>
      <c r="W314" s="79">
        <f t="shared" si="225"/>
        <v>-5970641.691119601</v>
      </c>
      <c r="Y314" s="12"/>
      <c r="Z314" s="13">
        <f t="shared" si="211"/>
        <v>2024</v>
      </c>
      <c r="AA314" s="78">
        <f ca="1">($P17-$F17+$P52-$F52)*Zalozenia!$C$45</f>
        <v>5988851.178853021</v>
      </c>
      <c r="AB314" s="78">
        <f t="shared" si="212"/>
        <v>-351086.30405955721</v>
      </c>
      <c r="AC314" s="78">
        <f t="shared" si="213"/>
        <v>-6339937.4829125786</v>
      </c>
      <c r="AD314" s="78">
        <f t="shared" si="214"/>
        <v>0.61391325354075932</v>
      </c>
      <c r="AE314" s="79">
        <f t="shared" si="226"/>
        <v>-3892171.6473798733</v>
      </c>
      <c r="AG314" s="12"/>
      <c r="AH314" s="13">
        <f t="shared" si="215"/>
        <v>2024</v>
      </c>
      <c r="AI314" s="78">
        <f ca="1">($Q17-$G17+$Q52-$G52)*Zalozenia!$C$45</f>
        <v>7740934.3051477121</v>
      </c>
      <c r="AJ314" s="78">
        <f t="shared" si="216"/>
        <v>-441189.14459059108</v>
      </c>
      <c r="AK314" s="78">
        <f t="shared" si="217"/>
        <v>-8182123.4497383032</v>
      </c>
      <c r="AL314" s="78">
        <f t="shared" si="218"/>
        <v>0.61391325354075932</v>
      </c>
      <c r="AM314" s="79">
        <f t="shared" si="227"/>
        <v>-5023114.0279009836</v>
      </c>
      <c r="AO314" s="12"/>
      <c r="AP314" s="13">
        <f t="shared" si="219"/>
        <v>2024</v>
      </c>
      <c r="AQ314" s="78">
        <f ca="1">($R17-$H17+$R52-$H52)*Zalozenia!$C$45</f>
        <v>0</v>
      </c>
      <c r="AR314" s="78">
        <f t="shared" si="220"/>
        <v>0</v>
      </c>
      <c r="AS314" s="78">
        <f t="shared" si="221"/>
        <v>0</v>
      </c>
      <c r="AT314" s="78">
        <f t="shared" si="222"/>
        <v>0.61391325354075932</v>
      </c>
      <c r="AU314" s="79">
        <f t="shared" si="228"/>
        <v>0</v>
      </c>
    </row>
    <row r="315" spans="1:47" s="4" customFormat="1" ht="10.5">
      <c r="A315" s="12"/>
      <c r="B315" s="13">
        <f t="shared" si="199"/>
        <v>2025</v>
      </c>
      <c r="C315" s="78">
        <f ca="1">($M18-$C18+$M53-$C53)*Zalozenia!$C$45</f>
        <v>7779684.5980241569</v>
      </c>
      <c r="D315" s="78">
        <f t="shared" si="200"/>
        <v>-346188.95037570206</v>
      </c>
      <c r="E315" s="78">
        <f t="shared" si="201"/>
        <v>-8125873.5483998591</v>
      </c>
      <c r="F315" s="78">
        <f t="shared" si="202"/>
        <v>0.5846792890864374</v>
      </c>
      <c r="G315" s="79">
        <f t="shared" si="223"/>
        <v>-4751029.9694847157</v>
      </c>
      <c r="I315" s="12"/>
      <c r="J315" s="13">
        <f t="shared" si="203"/>
        <v>2025</v>
      </c>
      <c r="K315" s="78">
        <f ca="1">($N18-$D18+$N53-$D53)*Zalozenia!$C$45</f>
        <v>17424334.574181654</v>
      </c>
      <c r="L315" s="78">
        <f t="shared" si="204"/>
        <v>-1059603.5376178075</v>
      </c>
      <c r="M315" s="78">
        <f t="shared" si="205"/>
        <v>-18483938.11179946</v>
      </c>
      <c r="N315" s="78">
        <f t="shared" si="206"/>
        <v>0.5846792890864374</v>
      </c>
      <c r="O315" s="79">
        <f t="shared" si="224"/>
        <v>-10807175.794724613</v>
      </c>
      <c r="Q315" s="12"/>
      <c r="R315" s="13">
        <f t="shared" si="207"/>
        <v>2025</v>
      </c>
      <c r="S315" s="78">
        <f ca="1">($O18-$E18+$O53-$E53)*Zalozenia!$C$45</f>
        <v>9598409.8508913741</v>
      </c>
      <c r="T315" s="78">
        <f t="shared" si="208"/>
        <v>-536741.43439522164</v>
      </c>
      <c r="U315" s="78">
        <f t="shared" si="209"/>
        <v>-10135151.285286596</v>
      </c>
      <c r="V315" s="78">
        <f t="shared" si="210"/>
        <v>0.5846792890864374</v>
      </c>
      <c r="W315" s="79">
        <f t="shared" si="225"/>
        <v>-5925813.0482648592</v>
      </c>
      <c r="Y315" s="12"/>
      <c r="Z315" s="13">
        <f t="shared" si="211"/>
        <v>2025</v>
      </c>
      <c r="AA315" s="78">
        <f ca="1">($P18-$F18+$P53-$F53)*Zalozenia!$C$45</f>
        <v>6126822.8041409627</v>
      </c>
      <c r="AB315" s="78">
        <f t="shared" si="212"/>
        <v>-572562.88323880546</v>
      </c>
      <c r="AC315" s="78">
        <f t="shared" si="213"/>
        <v>-6699385.6873797681</v>
      </c>
      <c r="AD315" s="78">
        <f t="shared" si="214"/>
        <v>0.5846792890864374</v>
      </c>
      <c r="AE315" s="79">
        <f t="shared" si="226"/>
        <v>-3916992.0610130564</v>
      </c>
      <c r="AG315" s="12"/>
      <c r="AH315" s="13">
        <f t="shared" si="215"/>
        <v>2025</v>
      </c>
      <c r="AI315" s="78">
        <f ca="1">($Q18-$G18+$Q53-$G53)*Zalozenia!$C$45</f>
        <v>7930041.9456008943</v>
      </c>
      <c r="AJ315" s="78">
        <f t="shared" si="216"/>
        <v>-547320.42313841672</v>
      </c>
      <c r="AK315" s="78">
        <f t="shared" si="217"/>
        <v>-8477362.3687393107</v>
      </c>
      <c r="AL315" s="78">
        <f t="shared" si="218"/>
        <v>0.5846792890864374</v>
      </c>
      <c r="AM315" s="79">
        <f t="shared" si="227"/>
        <v>-4956538.2030826174</v>
      </c>
      <c r="AO315" s="12"/>
      <c r="AP315" s="13">
        <f t="shared" si="219"/>
        <v>2025</v>
      </c>
      <c r="AQ315" s="78">
        <f ca="1">($R18-$H18+$R53-$H53)*Zalozenia!$C$45</f>
        <v>0</v>
      </c>
      <c r="AR315" s="78">
        <f t="shared" si="220"/>
        <v>0</v>
      </c>
      <c r="AS315" s="78">
        <f t="shared" si="221"/>
        <v>0</v>
      </c>
      <c r="AT315" s="78">
        <f t="shared" si="222"/>
        <v>0.5846792890864374</v>
      </c>
      <c r="AU315" s="79">
        <f t="shared" si="228"/>
        <v>0</v>
      </c>
    </row>
    <row r="316" spans="1:47" s="4" customFormat="1" ht="10.5">
      <c r="A316" s="12"/>
      <c r="B316" s="13">
        <f t="shared" si="199"/>
        <v>2026</v>
      </c>
      <c r="C316" s="78">
        <f ca="1">($M19-$C19+$M54-$C54)*Zalozenia!$C$45</f>
        <v>18579529.561069649</v>
      </c>
      <c r="D316" s="78">
        <f t="shared" si="200"/>
        <v>-365916.27634563483</v>
      </c>
      <c r="E316" s="78">
        <f t="shared" si="201"/>
        <v>-18945445.837415285</v>
      </c>
      <c r="F316" s="78">
        <f t="shared" si="202"/>
        <v>0.5568374181775595</v>
      </c>
      <c r="G316" s="79">
        <f t="shared" si="223"/>
        <v>-10549533.14632912</v>
      </c>
      <c r="I316" s="12"/>
      <c r="J316" s="13">
        <f t="shared" si="203"/>
        <v>2026</v>
      </c>
      <c r="K316" s="78">
        <f ca="1">($N19-$D19+$N54-$D54)*Zalozenia!$C$45</f>
        <v>16992606.515202645</v>
      </c>
      <c r="L316" s="78">
        <f t="shared" si="204"/>
        <v>-1119597.4293391043</v>
      </c>
      <c r="M316" s="78">
        <f t="shared" si="205"/>
        <v>-18112203.944541749</v>
      </c>
      <c r="N316" s="78">
        <f t="shared" si="206"/>
        <v>0.5568374181775595</v>
      </c>
      <c r="O316" s="79">
        <f t="shared" si="224"/>
        <v>-10085552.881984036</v>
      </c>
      <c r="Q316" s="12"/>
      <c r="R316" s="13">
        <f t="shared" si="207"/>
        <v>2026</v>
      </c>
      <c r="S316" s="78">
        <f ca="1">($O19-$E19+$O54-$E54)*Zalozenia!$C$45</f>
        <v>15581708.358186914</v>
      </c>
      <c r="T316" s="78">
        <f t="shared" si="208"/>
        <v>-567145.71790080506</v>
      </c>
      <c r="U316" s="78">
        <f t="shared" si="209"/>
        <v>-16148854.076087719</v>
      </c>
      <c r="V316" s="78">
        <f t="shared" si="210"/>
        <v>0.5568374181775595</v>
      </c>
      <c r="W316" s="79">
        <f t="shared" si="225"/>
        <v>-8992286.2102548424</v>
      </c>
      <c r="Y316" s="12"/>
      <c r="Z316" s="13">
        <f t="shared" si="211"/>
        <v>2026</v>
      </c>
      <c r="AA316" s="78">
        <f ca="1">($P19-$F19+$P54-$F54)*Zalozenia!$C$45</f>
        <v>14619984.57278884</v>
      </c>
      <c r="AB316" s="78">
        <f t="shared" si="212"/>
        <v>-605319.49157115154</v>
      </c>
      <c r="AC316" s="78">
        <f t="shared" si="213"/>
        <v>-15225304.064359991</v>
      </c>
      <c r="AD316" s="78">
        <f t="shared" si="214"/>
        <v>0.5568374181775595</v>
      </c>
      <c r="AE316" s="79">
        <f t="shared" si="226"/>
        <v>-8478019.0061665196</v>
      </c>
      <c r="AG316" s="12"/>
      <c r="AH316" s="13">
        <f t="shared" si="215"/>
        <v>2026</v>
      </c>
      <c r="AI316" s="78">
        <f ca="1">($Q19-$G19+$Q54-$G54)*Zalozenia!$C$45</f>
        <v>7594404.5785394078</v>
      </c>
      <c r="AJ316" s="78">
        <f t="shared" si="216"/>
        <v>-581401.15534825309</v>
      </c>
      <c r="AK316" s="78">
        <f t="shared" si="217"/>
        <v>-8175805.7338876612</v>
      </c>
      <c r="AL316" s="78">
        <f t="shared" si="218"/>
        <v>0.5568374181775595</v>
      </c>
      <c r="AM316" s="79">
        <f t="shared" si="227"/>
        <v>-4552594.5563792922</v>
      </c>
      <c r="AO316" s="12"/>
      <c r="AP316" s="13">
        <f t="shared" si="219"/>
        <v>2026</v>
      </c>
      <c r="AQ316" s="78">
        <f ca="1">($R19-$H19+$R54-$H54)*Zalozenia!$C$45</f>
        <v>0</v>
      </c>
      <c r="AR316" s="78">
        <f t="shared" si="220"/>
        <v>0</v>
      </c>
      <c r="AS316" s="78">
        <f t="shared" si="221"/>
        <v>0</v>
      </c>
      <c r="AT316" s="78">
        <f t="shared" si="222"/>
        <v>0.5568374181775595</v>
      </c>
      <c r="AU316" s="79">
        <f t="shared" si="228"/>
        <v>0</v>
      </c>
    </row>
    <row r="317" spans="1:47" s="4" customFormat="1" ht="10.5">
      <c r="A317" s="12"/>
      <c r="B317" s="13">
        <f t="shared" si="199"/>
        <v>2027</v>
      </c>
      <c r="C317" s="78">
        <f ca="1">($M20-$C20+$M55-$C55)*Zalozenia!$C$45</f>
        <v>19026139.510839466</v>
      </c>
      <c r="D317" s="78">
        <f t="shared" si="200"/>
        <v>-388333.44963541068</v>
      </c>
      <c r="E317" s="78">
        <f t="shared" si="201"/>
        <v>-19414472.960474879</v>
      </c>
      <c r="F317" s="78">
        <f t="shared" si="202"/>
        <v>0.53032135064529462</v>
      </c>
      <c r="G317" s="79">
        <f t="shared" si="223"/>
        <v>-10295909.522465589</v>
      </c>
      <c r="I317" s="12"/>
      <c r="J317" s="13">
        <f t="shared" si="203"/>
        <v>2027</v>
      </c>
      <c r="K317" s="78">
        <f ca="1">($N20-$D20+$N55-$D55)*Zalozenia!$C$45</f>
        <v>17391958.229319304</v>
      </c>
      <c r="L317" s="78">
        <f t="shared" si="204"/>
        <v>-1189019.1328380601</v>
      </c>
      <c r="M317" s="78">
        <f t="shared" si="205"/>
        <v>-18580977.362157363</v>
      </c>
      <c r="N317" s="78">
        <f t="shared" si="206"/>
        <v>0.53032135064529462</v>
      </c>
      <c r="O317" s="79">
        <f t="shared" si="224"/>
        <v>-9853889.0110089369</v>
      </c>
      <c r="Q317" s="12"/>
      <c r="R317" s="13">
        <f t="shared" si="207"/>
        <v>2027</v>
      </c>
      <c r="S317" s="78">
        <f ca="1">($O20-$E20+$O55-$E55)*Zalozenia!$C$45</f>
        <v>15936304.811927175</v>
      </c>
      <c r="T317" s="78">
        <f t="shared" si="208"/>
        <v>-602363.20512509276</v>
      </c>
      <c r="U317" s="78">
        <f t="shared" si="209"/>
        <v>-16538668.017052269</v>
      </c>
      <c r="V317" s="78">
        <f t="shared" si="210"/>
        <v>0.53032135064529462</v>
      </c>
      <c r="W317" s="79">
        <f t="shared" si="225"/>
        <v>-8770808.7606772948</v>
      </c>
      <c r="Y317" s="12"/>
      <c r="Z317" s="13">
        <f t="shared" si="211"/>
        <v>2027</v>
      </c>
      <c r="AA317" s="78">
        <f ca="1">($P20-$F20+$P55-$F55)*Zalozenia!$C$45</f>
        <v>14959193.030228036</v>
      </c>
      <c r="AB317" s="78">
        <f t="shared" si="212"/>
        <v>-643312.06295551755</v>
      </c>
      <c r="AC317" s="78">
        <f t="shared" si="213"/>
        <v>-15602505.093183553</v>
      </c>
      <c r="AD317" s="78">
        <f t="shared" si="214"/>
        <v>0.53032135064529462</v>
      </c>
      <c r="AE317" s="79">
        <f t="shared" si="226"/>
        <v>-8274341.5744671905</v>
      </c>
      <c r="AG317" s="12"/>
      <c r="AH317" s="13">
        <f t="shared" si="215"/>
        <v>2027</v>
      </c>
      <c r="AI317" s="78">
        <f ca="1">($Q20-$G20+$Q55-$G55)*Zalozenia!$C$45</f>
        <v>7780795.5255260905</v>
      </c>
      <c r="AJ317" s="78">
        <f t="shared" si="216"/>
        <v>-623283.00786925387</v>
      </c>
      <c r="AK317" s="78">
        <f t="shared" si="217"/>
        <v>-8404078.5333953444</v>
      </c>
      <c r="AL317" s="78">
        <f t="shared" si="218"/>
        <v>0.53032135064529462</v>
      </c>
      <c r="AM317" s="79">
        <f t="shared" si="227"/>
        <v>-4456862.2787593454</v>
      </c>
      <c r="AO317" s="12"/>
      <c r="AP317" s="13">
        <f t="shared" si="219"/>
        <v>2027</v>
      </c>
      <c r="AQ317" s="78">
        <f ca="1">($R20-$H20+$R55-$H55)*Zalozenia!$C$45</f>
        <v>0</v>
      </c>
      <c r="AR317" s="78">
        <f t="shared" si="220"/>
        <v>0</v>
      </c>
      <c r="AS317" s="78">
        <f t="shared" si="221"/>
        <v>0</v>
      </c>
      <c r="AT317" s="78">
        <f t="shared" si="222"/>
        <v>0.53032135064529462</v>
      </c>
      <c r="AU317" s="79">
        <f t="shared" si="228"/>
        <v>0</v>
      </c>
    </row>
    <row r="318" spans="1:47" s="4" customFormat="1" ht="10.5">
      <c r="A318" s="12"/>
      <c r="B318" s="13">
        <f t="shared" si="199"/>
        <v>2028</v>
      </c>
      <c r="C318" s="78">
        <f ca="1">($M21-$C21+$M56-$C56)*Zalozenia!$C$45</f>
        <v>19484718.327100843</v>
      </c>
      <c r="D318" s="78">
        <f t="shared" si="200"/>
        <v>-411845.22722438618</v>
      </c>
      <c r="E318" s="78">
        <f t="shared" si="201"/>
        <v>-19896563.55432523</v>
      </c>
      <c r="F318" s="78">
        <f t="shared" si="202"/>
        <v>0.50506795299551888</v>
      </c>
      <c r="G318" s="79">
        <f t="shared" si="223"/>
        <v>-10049116.62602829</v>
      </c>
      <c r="I318" s="12"/>
      <c r="J318" s="13">
        <f t="shared" si="203"/>
        <v>2028</v>
      </c>
      <c r="K318" s="78">
        <f ca="1">($N21-$D21+$N56-$D56)*Zalozenia!$C$45</f>
        <v>17801991.810718577</v>
      </c>
      <c r="L318" s="78">
        <f t="shared" si="204"/>
        <v>-1261707.8928364413</v>
      </c>
      <c r="M318" s="78">
        <f t="shared" si="205"/>
        <v>-19063699.703555018</v>
      </c>
      <c r="N318" s="78">
        <f t="shared" si="206"/>
        <v>0.50506795299551888</v>
      </c>
      <c r="O318" s="79">
        <f t="shared" si="224"/>
        <v>-9628463.7857958134</v>
      </c>
      <c r="Q318" s="12"/>
      <c r="R318" s="13">
        <f t="shared" si="207"/>
        <v>2028</v>
      </c>
      <c r="S318" s="78">
        <f ca="1">($O21-$E21+$O56-$E56)*Zalozenia!$C$45</f>
        <v>16300359.322226414</v>
      </c>
      <c r="T318" s="78">
        <f t="shared" si="208"/>
        <v>-639225.51315985806</v>
      </c>
      <c r="U318" s="78">
        <f t="shared" si="209"/>
        <v>-16939584.835386273</v>
      </c>
      <c r="V318" s="78">
        <f t="shared" si="210"/>
        <v>0.50506795299551888</v>
      </c>
      <c r="W318" s="79">
        <f t="shared" si="225"/>
        <v>-8555641.4374024775</v>
      </c>
      <c r="Y318" s="12"/>
      <c r="Z318" s="13">
        <f t="shared" si="211"/>
        <v>2028</v>
      </c>
      <c r="AA318" s="78">
        <f ca="1">($P21-$F21+$P56-$F56)*Zalozenia!$C$45</f>
        <v>15307464.552190445</v>
      </c>
      <c r="AB318" s="78">
        <f t="shared" si="212"/>
        <v>-683100.90955105063</v>
      </c>
      <c r="AC318" s="78">
        <f t="shared" si="213"/>
        <v>-15990565.461741496</v>
      </c>
      <c r="AD318" s="78">
        <f t="shared" si="214"/>
        <v>0.50506795299551888</v>
      </c>
      <c r="AE318" s="79">
        <f t="shared" si="226"/>
        <v>-8076322.1650026217</v>
      </c>
      <c r="AG318" s="12"/>
      <c r="AH318" s="13">
        <f t="shared" si="215"/>
        <v>2028</v>
      </c>
      <c r="AI318" s="78">
        <f ca="1">($Q21-$G21+$Q56-$G56)*Zalozenia!$C$45</f>
        <v>7972190.272235034</v>
      </c>
      <c r="AJ318" s="78">
        <f t="shared" si="216"/>
        <v>-667083.08857293462</v>
      </c>
      <c r="AK318" s="78">
        <f t="shared" si="217"/>
        <v>-8639273.3608079683</v>
      </c>
      <c r="AL318" s="78">
        <f t="shared" si="218"/>
        <v>0.50506795299551888</v>
      </c>
      <c r="AM318" s="79">
        <f t="shared" si="227"/>
        <v>-4363420.1117119975</v>
      </c>
      <c r="AO318" s="12"/>
      <c r="AP318" s="13">
        <f t="shared" si="219"/>
        <v>2028</v>
      </c>
      <c r="AQ318" s="78">
        <f ca="1">($R21-$H21+$R56-$H56)*Zalozenia!$C$45</f>
        <v>0</v>
      </c>
      <c r="AR318" s="78">
        <f t="shared" si="220"/>
        <v>0</v>
      </c>
      <c r="AS318" s="78">
        <f t="shared" si="221"/>
        <v>0</v>
      </c>
      <c r="AT318" s="78">
        <f t="shared" si="222"/>
        <v>0.50506795299551888</v>
      </c>
      <c r="AU318" s="79">
        <f t="shared" si="228"/>
        <v>0</v>
      </c>
    </row>
    <row r="319" spans="1:47" s="4" customFormat="1" ht="10.5">
      <c r="A319" s="12"/>
      <c r="B319" s="13">
        <f t="shared" si="199"/>
        <v>2029</v>
      </c>
      <c r="C319" s="78">
        <f ca="1">($M22-$C22+$M57-$C57)*Zalozenia!$C$45</f>
        <v>19955589.543827076</v>
      </c>
      <c r="D319" s="78">
        <f t="shared" si="200"/>
        <v>-436656.22968553676</v>
      </c>
      <c r="E319" s="78">
        <f t="shared" si="201"/>
        <v>-20392245.773512613</v>
      </c>
      <c r="F319" s="78">
        <f t="shared" si="202"/>
        <v>0.48101709809097021</v>
      </c>
      <c r="G319" s="79">
        <f t="shared" si="223"/>
        <v>-9809018.8855328895</v>
      </c>
      <c r="I319" s="12"/>
      <c r="J319" s="13">
        <f t="shared" si="203"/>
        <v>2029</v>
      </c>
      <c r="K319" s="78">
        <f ca="1">($N22-$D22+$N57-$D57)*Zalozenia!$C$45</f>
        <v>18222995.962717287</v>
      </c>
      <c r="L319" s="78">
        <f t="shared" si="204"/>
        <v>-1338398.3724038741</v>
      </c>
      <c r="M319" s="78">
        <f t="shared" si="205"/>
        <v>-19561394.335121162</v>
      </c>
      <c r="N319" s="78">
        <f t="shared" si="206"/>
        <v>0.48101709809097021</v>
      </c>
      <c r="O319" s="79">
        <f t="shared" si="224"/>
        <v>-9409365.1376931258</v>
      </c>
      <c r="Q319" s="12"/>
      <c r="R319" s="13">
        <f t="shared" si="207"/>
        <v>2029</v>
      </c>
      <c r="S319" s="78">
        <f ca="1">($O22-$E22+$O57-$E57)*Zalozenia!$C$45</f>
        <v>16674127.461959517</v>
      </c>
      <c r="T319" s="78">
        <f t="shared" si="208"/>
        <v>-678107.51325113035</v>
      </c>
      <c r="U319" s="78">
        <f t="shared" si="209"/>
        <v>-17352234.975210648</v>
      </c>
      <c r="V319" s="78">
        <f t="shared" si="210"/>
        <v>0.48101709809097021</v>
      </c>
      <c r="W319" s="79">
        <f t="shared" si="225"/>
        <v>-8346721.7131684646</v>
      </c>
      <c r="Y319" s="12"/>
      <c r="Z319" s="13">
        <f t="shared" si="211"/>
        <v>2029</v>
      </c>
      <c r="AA319" s="78">
        <f ca="1">($P22-$F22+$P57-$F57)*Zalozenia!$C$45</f>
        <v>15665044.069522925</v>
      </c>
      <c r="AB319" s="78">
        <f t="shared" si="212"/>
        <v>-725095.11362192687</v>
      </c>
      <c r="AC319" s="78">
        <f t="shared" si="213"/>
        <v>-16390139.183144853</v>
      </c>
      <c r="AD319" s="78">
        <f t="shared" si="214"/>
        <v>0.48101709809097021</v>
      </c>
      <c r="AE319" s="79">
        <f t="shared" si="226"/>
        <v>-7883937.1871834416</v>
      </c>
      <c r="AG319" s="12"/>
      <c r="AH319" s="13">
        <f t="shared" si="215"/>
        <v>2029</v>
      </c>
      <c r="AI319" s="78">
        <f ca="1">($Q22-$G22+$Q57-$G57)*Zalozenia!$C$45</f>
        <v>8168724.0952979457</v>
      </c>
      <c r="AJ319" s="78">
        <f t="shared" si="216"/>
        <v>-713439.84000223456</v>
      </c>
      <c r="AK319" s="78">
        <f t="shared" si="217"/>
        <v>-8882163.9353001807</v>
      </c>
      <c r="AL319" s="78">
        <f t="shared" si="218"/>
        <v>0.48101709809097021</v>
      </c>
      <c r="AM319" s="79">
        <f t="shared" si="227"/>
        <v>-4272472.7209263649</v>
      </c>
      <c r="AO319" s="12"/>
      <c r="AP319" s="13">
        <f t="shared" si="219"/>
        <v>2029</v>
      </c>
      <c r="AQ319" s="78">
        <f ca="1">($R22-$H22+$R57-$H57)*Zalozenia!$C$45</f>
        <v>0</v>
      </c>
      <c r="AR319" s="78">
        <f t="shared" si="220"/>
        <v>0</v>
      </c>
      <c r="AS319" s="78">
        <f t="shared" si="221"/>
        <v>0</v>
      </c>
      <c r="AT319" s="78">
        <f t="shared" si="222"/>
        <v>0.48101709809097021</v>
      </c>
      <c r="AU319" s="79">
        <f t="shared" si="228"/>
        <v>0</v>
      </c>
    </row>
    <row r="320" spans="1:47" s="4" customFormat="1" ht="10.5">
      <c r="A320" s="12"/>
      <c r="B320" s="13">
        <f t="shared" si="199"/>
        <v>2030</v>
      </c>
      <c r="C320" s="78">
        <f ca="1">($M23-$C23+$M58-$C58)*Zalozenia!$C$45</f>
        <v>20439085.446137715</v>
      </c>
      <c r="D320" s="78">
        <f t="shared" si="200"/>
        <v>-462731.62157185195</v>
      </c>
      <c r="E320" s="78">
        <f t="shared" si="201"/>
        <v>-20901817.067709569</v>
      </c>
      <c r="F320" s="78">
        <f t="shared" si="202"/>
        <v>0.45811152199140021</v>
      </c>
      <c r="G320" s="79">
        <f t="shared" si="223"/>
        <v>-9575363.2292742562</v>
      </c>
      <c r="I320" s="12"/>
      <c r="J320" s="13">
        <f t="shared" si="203"/>
        <v>2030</v>
      </c>
      <c r="K320" s="78">
        <f ca="1">($N23-$D23+$N58-$D58)*Zalozenia!$C$45</f>
        <v>18655267.197574612</v>
      </c>
      <c r="L320" s="78">
        <f t="shared" si="204"/>
        <v>-1418907.7786459664</v>
      </c>
      <c r="M320" s="78">
        <f t="shared" si="205"/>
        <v>-20074174.976220578</v>
      </c>
      <c r="N320" s="78">
        <f t="shared" si="206"/>
        <v>0.45811152199140021</v>
      </c>
      <c r="O320" s="79">
        <f t="shared" si="224"/>
        <v>-9196210.8510780893</v>
      </c>
      <c r="Q320" s="12"/>
      <c r="R320" s="13">
        <f t="shared" si="207"/>
        <v>2030</v>
      </c>
      <c r="S320" s="78">
        <f ca="1">($O23-$E23+$O58-$E58)*Zalozenia!$C$45</f>
        <v>17057871.716712534</v>
      </c>
      <c r="T320" s="78">
        <f t="shared" si="208"/>
        <v>-718913.25426215283</v>
      </c>
      <c r="U320" s="78">
        <f t="shared" si="209"/>
        <v>-17776784.970974687</v>
      </c>
      <c r="V320" s="78">
        <f t="shared" si="210"/>
        <v>0.45811152199140021</v>
      </c>
      <c r="W320" s="79">
        <f t="shared" si="225"/>
        <v>-8143750.0191670628</v>
      </c>
      <c r="Y320" s="12"/>
      <c r="Z320" s="13">
        <f t="shared" si="211"/>
        <v>2030</v>
      </c>
      <c r="AA320" s="78">
        <f ca="1">($P23-$F23+$P58-$F58)*Zalozenia!$C$45</f>
        <v>16032183.138001647</v>
      </c>
      <c r="AB320" s="78">
        <f t="shared" si="212"/>
        <v>-769191.56034622854</v>
      </c>
      <c r="AC320" s="78">
        <f t="shared" si="213"/>
        <v>-16801374.698347874</v>
      </c>
      <c r="AD320" s="78">
        <f t="shared" si="214"/>
        <v>0.45811152199140021</v>
      </c>
      <c r="AE320" s="79">
        <f t="shared" si="226"/>
        <v>-7696903.3346079467</v>
      </c>
      <c r="AG320" s="12"/>
      <c r="AH320" s="13">
        <f t="shared" si="215"/>
        <v>2030</v>
      </c>
      <c r="AI320" s="78">
        <f ca="1">($Q23-$G23+$Q58-$G58)*Zalozenia!$C$45</f>
        <v>8370535.9304271042</v>
      </c>
      <c r="AJ320" s="78">
        <f t="shared" si="216"/>
        <v>-762122.44204476383</v>
      </c>
      <c r="AK320" s="78">
        <f t="shared" si="217"/>
        <v>-9132658.372471869</v>
      </c>
      <c r="AL320" s="78">
        <f t="shared" si="218"/>
        <v>0.45811152199140021</v>
      </c>
      <c r="AM320" s="79">
        <f t="shared" si="227"/>
        <v>-4183776.0268405918</v>
      </c>
      <c r="AO320" s="12"/>
      <c r="AP320" s="13">
        <f t="shared" si="219"/>
        <v>2030</v>
      </c>
      <c r="AQ320" s="78">
        <f ca="1">($R23-$H23+$R58-$H58)*Zalozenia!$C$45</f>
        <v>0</v>
      </c>
      <c r="AR320" s="78">
        <f t="shared" si="220"/>
        <v>0</v>
      </c>
      <c r="AS320" s="78">
        <f t="shared" si="221"/>
        <v>0</v>
      </c>
      <c r="AT320" s="78">
        <f t="shared" si="222"/>
        <v>0.45811152199140021</v>
      </c>
      <c r="AU320" s="79">
        <f t="shared" si="228"/>
        <v>0</v>
      </c>
    </row>
    <row r="321" spans="1:47" s="4" customFormat="1" ht="10.5">
      <c r="A321" s="12"/>
      <c r="B321" s="13">
        <f t="shared" si="199"/>
        <v>2031</v>
      </c>
      <c r="C321" s="78">
        <f ca="1">($M24-$C24+$M59-$C59)*Zalozenia!$C$45</f>
        <v>20935547.307016153</v>
      </c>
      <c r="D321" s="78">
        <f t="shared" si="200"/>
        <v>-490212.59260288213</v>
      </c>
      <c r="E321" s="78">
        <f t="shared" si="201"/>
        <v>-21425759.899619035</v>
      </c>
      <c r="F321" s="78">
        <f t="shared" si="202"/>
        <v>0.43629668761085727</v>
      </c>
      <c r="G321" s="79">
        <f t="shared" si="223"/>
        <v>-9347988.0737493187</v>
      </c>
      <c r="I321" s="12"/>
      <c r="J321" s="13">
        <f t="shared" si="203"/>
        <v>2031</v>
      </c>
      <c r="K321" s="78">
        <f ca="1">($N24-$D24+$N59-$D59)*Zalozenia!$C$45</f>
        <v>19099110.047722954</v>
      </c>
      <c r="L321" s="78">
        <f t="shared" si="204"/>
        <v>-1503722.5403632401</v>
      </c>
      <c r="M321" s="78">
        <f t="shared" si="205"/>
        <v>-20602832.588086195</v>
      </c>
      <c r="N321" s="78">
        <f t="shared" si="206"/>
        <v>0.43629668761085727</v>
      </c>
      <c r="O321" s="79">
        <f t="shared" si="224"/>
        <v>-8988947.613583032</v>
      </c>
      <c r="Q321" s="12"/>
      <c r="R321" s="13">
        <f t="shared" si="207"/>
        <v>2031</v>
      </c>
      <c r="S321" s="78">
        <f ca="1">($O24-$E24+$O59-$E59)*Zalozenia!$C$45</f>
        <v>17451861.671770442</v>
      </c>
      <c r="T321" s="78">
        <f t="shared" si="208"/>
        <v>-761889.7208499664</v>
      </c>
      <c r="U321" s="78">
        <f t="shared" si="209"/>
        <v>-18213751.392620407</v>
      </c>
      <c r="V321" s="78">
        <f t="shared" si="210"/>
        <v>0.43629668761085727</v>
      </c>
      <c r="W321" s="79">
        <f t="shared" si="225"/>
        <v>-7946599.401567922</v>
      </c>
      <c r="Y321" s="12"/>
      <c r="Z321" s="13">
        <f t="shared" si="211"/>
        <v>2031</v>
      </c>
      <c r="AA321" s="78">
        <f ca="1">($P24-$F24+$P59-$F59)*Zalozenia!$C$45</f>
        <v>16409140.117535509</v>
      </c>
      <c r="AB321" s="78">
        <f t="shared" si="212"/>
        <v>-815660.70673479524</v>
      </c>
      <c r="AC321" s="78">
        <f t="shared" si="213"/>
        <v>-17224800.824270304</v>
      </c>
      <c r="AD321" s="78">
        <f t="shared" si="214"/>
        <v>0.43629668761085727</v>
      </c>
      <c r="AE321" s="79">
        <f t="shared" si="226"/>
        <v>-7515123.5443858979</v>
      </c>
      <c r="AG321" s="12"/>
      <c r="AH321" s="13">
        <f t="shared" si="215"/>
        <v>2031</v>
      </c>
      <c r="AI321" s="78">
        <f ca="1">($Q24-$G24+$Q59-$G59)*Zalozenia!$C$45</f>
        <v>8577768.4713932108</v>
      </c>
      <c r="AJ321" s="78">
        <f t="shared" si="216"/>
        <v>-813528.99724758556</v>
      </c>
      <c r="AK321" s="78">
        <f t="shared" si="217"/>
        <v>-9391297.4686407968</v>
      </c>
      <c r="AL321" s="78">
        <f t="shared" si="218"/>
        <v>0.43629668761085727</v>
      </c>
      <c r="AM321" s="79">
        <f t="shared" si="227"/>
        <v>-4097391.9779362082</v>
      </c>
      <c r="AO321" s="12"/>
      <c r="AP321" s="13">
        <f t="shared" si="219"/>
        <v>2031</v>
      </c>
      <c r="AQ321" s="78">
        <f ca="1">($R24-$H24+$R59-$H59)*Zalozenia!$C$45</f>
        <v>0</v>
      </c>
      <c r="AR321" s="78">
        <f t="shared" si="220"/>
        <v>0</v>
      </c>
      <c r="AS321" s="78">
        <f t="shared" si="221"/>
        <v>0</v>
      </c>
      <c r="AT321" s="78">
        <f t="shared" si="222"/>
        <v>0.43629668761085727</v>
      </c>
      <c r="AU321" s="79">
        <f t="shared" si="228"/>
        <v>0</v>
      </c>
    </row>
    <row r="322" spans="1:47" s="4" customFormat="1" ht="10.5">
      <c r="A322" s="12"/>
      <c r="B322" s="13">
        <f t="shared" si="199"/>
        <v>2032</v>
      </c>
      <c r="C322" s="78">
        <f ca="1">($M25-$C25+$M60-$C60)*Zalozenia!$C$45</f>
        <v>21445325.630430464</v>
      </c>
      <c r="D322" s="78">
        <f t="shared" si="200"/>
        <v>-519130.29177784245</v>
      </c>
      <c r="E322" s="78">
        <f t="shared" si="201"/>
        <v>-21964455.922208305</v>
      </c>
      <c r="F322" s="78">
        <f t="shared" si="202"/>
        <v>0.41552065486748313</v>
      </c>
      <c r="G322" s="79">
        <f t="shared" si="223"/>
        <v>-9126685.1086039636</v>
      </c>
      <c r="I322" s="12"/>
      <c r="J322" s="13">
        <f t="shared" si="203"/>
        <v>2032</v>
      </c>
      <c r="K322" s="78">
        <f ca="1">($N25-$D25+$N60-$D60)*Zalozenia!$C$45</f>
        <v>19554837.282712717</v>
      </c>
      <c r="L322" s="78">
        <f t="shared" si="204"/>
        <v>-1592907.0076779572</v>
      </c>
      <c r="M322" s="78">
        <f t="shared" si="205"/>
        <v>-21147744.290390674</v>
      </c>
      <c r="N322" s="78">
        <f t="shared" si="206"/>
        <v>0.41552065486748313</v>
      </c>
      <c r="O322" s="79">
        <f t="shared" si="224"/>
        <v>-8787324.5565132108</v>
      </c>
      <c r="Q322" s="12"/>
      <c r="R322" s="13">
        <f t="shared" si="207"/>
        <v>2032</v>
      </c>
      <c r="S322" s="78">
        <f ca="1">($O25-$E25+$O60-$E60)*Zalozenia!$C$45</f>
        <v>17856374.204162903</v>
      </c>
      <c r="T322" s="78">
        <f t="shared" si="208"/>
        <v>-807067.43188235711</v>
      </c>
      <c r="U322" s="78">
        <f t="shared" si="209"/>
        <v>-18663441.636045258</v>
      </c>
      <c r="V322" s="78">
        <f t="shared" si="210"/>
        <v>0.41552065486748313</v>
      </c>
      <c r="W322" s="79">
        <f t="shared" si="225"/>
        <v>-7755045.4906905768</v>
      </c>
      <c r="Y322" s="12"/>
      <c r="Z322" s="13">
        <f t="shared" si="211"/>
        <v>2032</v>
      </c>
      <c r="AA322" s="78">
        <f ca="1">($P25-$F25+$P60-$F60)*Zalozenia!$C$45</f>
        <v>16796180.356217064</v>
      </c>
      <c r="AB322" s="78">
        <f t="shared" si="212"/>
        <v>-864537.31013715803</v>
      </c>
      <c r="AC322" s="78">
        <f t="shared" si="213"/>
        <v>-17660717.66635422</v>
      </c>
      <c r="AD322" s="78">
        <f t="shared" si="214"/>
        <v>0.41552065486748313</v>
      </c>
      <c r="AE322" s="79">
        <f t="shared" si="226"/>
        <v>-7338392.970153234</v>
      </c>
      <c r="AG322" s="12"/>
      <c r="AH322" s="13">
        <f t="shared" si="215"/>
        <v>2032</v>
      </c>
      <c r="AI322" s="78">
        <f ca="1">($Q25-$G25+$Q60-$G60)*Zalozenia!$C$45</f>
        <v>8790568.2716805469</v>
      </c>
      <c r="AJ322" s="78">
        <f t="shared" si="216"/>
        <v>-867656.61021567939</v>
      </c>
      <c r="AK322" s="78">
        <f t="shared" si="217"/>
        <v>-9658224.8818962257</v>
      </c>
      <c r="AL322" s="78">
        <f t="shared" si="218"/>
        <v>0.41552065486748313</v>
      </c>
      <c r="AM322" s="79">
        <f t="shared" si="227"/>
        <v>-4013191.9277829397</v>
      </c>
      <c r="AO322" s="12"/>
      <c r="AP322" s="13">
        <f t="shared" si="219"/>
        <v>2032</v>
      </c>
      <c r="AQ322" s="78">
        <f ca="1">($R25-$H25+$R60-$H60)*Zalozenia!$C$45</f>
        <v>0</v>
      </c>
      <c r="AR322" s="78">
        <f t="shared" si="220"/>
        <v>0</v>
      </c>
      <c r="AS322" s="78">
        <f t="shared" si="221"/>
        <v>0</v>
      </c>
      <c r="AT322" s="78">
        <f t="shared" si="222"/>
        <v>0.41552065486748313</v>
      </c>
      <c r="AU322" s="79">
        <f t="shared" si="228"/>
        <v>0</v>
      </c>
    </row>
    <row r="323" spans="1:47" s="4" customFormat="1" ht="10.5">
      <c r="A323" s="12"/>
      <c r="B323" s="13">
        <f t="shared" si="199"/>
        <v>2033</v>
      </c>
      <c r="C323" s="78">
        <f ca="1">($M26-$C26+$M61-$C61)*Zalozenia!$C$45</f>
        <v>21968780.40103066</v>
      </c>
      <c r="D323" s="78">
        <f t="shared" si="200"/>
        <v>-550751.60357421741</v>
      </c>
      <c r="E323" s="78">
        <f t="shared" si="201"/>
        <v>-22519532.004604876</v>
      </c>
      <c r="F323" s="78">
        <f t="shared" si="202"/>
        <v>0.39573395701665059</v>
      </c>
      <c r="G323" s="79">
        <f t="shared" si="223"/>
        <v>-8911743.5103453938</v>
      </c>
      <c r="I323" s="12"/>
      <c r="J323" s="13">
        <f t="shared" si="203"/>
        <v>2033</v>
      </c>
      <c r="K323" s="78">
        <f ca="1">($N26-$D26+$N61-$D61)*Zalozenia!$C$45</f>
        <v>20022770.13202535</v>
      </c>
      <c r="L323" s="78">
        <f t="shared" si="204"/>
        <v>-1691215.6362863411</v>
      </c>
      <c r="M323" s="78">
        <f t="shared" si="205"/>
        <v>-21713985.768311691</v>
      </c>
      <c r="N323" s="78">
        <f t="shared" si="206"/>
        <v>0.39573395701665059</v>
      </c>
      <c r="O323" s="79">
        <f t="shared" si="224"/>
        <v>-8592961.5106972214</v>
      </c>
      <c r="Q323" s="12"/>
      <c r="R323" s="13">
        <f t="shared" si="207"/>
        <v>2033</v>
      </c>
      <c r="S323" s="78">
        <f ca="1">($O26-$E26+$O61-$E61)*Zalozenia!$C$45</f>
        <v>18271693.679904923</v>
      </c>
      <c r="T323" s="78">
        <f t="shared" si="208"/>
        <v>-856874.30425434117</v>
      </c>
      <c r="U323" s="78">
        <f t="shared" si="209"/>
        <v>-19128567.984159265</v>
      </c>
      <c r="V323" s="78">
        <f t="shared" si="210"/>
        <v>0.39573395701665059</v>
      </c>
      <c r="W323" s="79">
        <f t="shared" si="225"/>
        <v>-7569823.9004333615</v>
      </c>
      <c r="Y323" s="12"/>
      <c r="Z323" s="13">
        <f t="shared" si="211"/>
        <v>2033</v>
      </c>
      <c r="AA323" s="78">
        <f ca="1">($P26-$F26+$P61-$F61)*Zalozenia!$C$45</f>
        <v>17193576.379351966</v>
      </c>
      <c r="AB323" s="78">
        <f t="shared" si="212"/>
        <v>-918475.00745231984</v>
      </c>
      <c r="AC323" s="78">
        <f t="shared" si="213"/>
        <v>-18112051.386804286</v>
      </c>
      <c r="AD323" s="78">
        <f t="shared" si="214"/>
        <v>0.39573395701665059</v>
      </c>
      <c r="AE323" s="79">
        <f t="shared" si="226"/>
        <v>-7167553.7649889747</v>
      </c>
      <c r="AG323" s="12"/>
      <c r="AH323" s="13">
        <f t="shared" si="215"/>
        <v>2033</v>
      </c>
      <c r="AI323" s="78">
        <f ca="1">($Q26-$G26+$Q61-$G61)*Zalozenia!$C$45</f>
        <v>9009085.8488919232</v>
      </c>
      <c r="AJ323" s="78">
        <f t="shared" si="216"/>
        <v>-928914.2949938128</v>
      </c>
      <c r="AK323" s="78">
        <f t="shared" si="217"/>
        <v>-9938000.1438857354</v>
      </c>
      <c r="AL323" s="78">
        <f t="shared" si="218"/>
        <v>0.39573395701665059</v>
      </c>
      <c r="AM323" s="79">
        <f t="shared" si="227"/>
        <v>-3932804.1217719452</v>
      </c>
      <c r="AO323" s="12"/>
      <c r="AP323" s="13">
        <f t="shared" si="219"/>
        <v>2033</v>
      </c>
      <c r="AQ323" s="78">
        <f ca="1">($R26-$H26+$R61-$H61)*Zalozenia!$C$45</f>
        <v>0</v>
      </c>
      <c r="AR323" s="78">
        <f t="shared" si="220"/>
        <v>0</v>
      </c>
      <c r="AS323" s="78">
        <f t="shared" si="221"/>
        <v>0</v>
      </c>
      <c r="AT323" s="78">
        <f t="shared" si="222"/>
        <v>0.39573395701665059</v>
      </c>
      <c r="AU323" s="79">
        <f t="shared" si="228"/>
        <v>0</v>
      </c>
    </row>
    <row r="324" spans="1:47" s="4" customFormat="1" ht="10.5">
      <c r="A324" s="12"/>
      <c r="B324" s="13">
        <f t="shared" si="199"/>
        <v>2034</v>
      </c>
      <c r="C324" s="78">
        <f ca="1">($M27-$C27+$M62-$C62)*Zalozenia!$C$45</f>
        <v>22506281.340600185</v>
      </c>
      <c r="D324" s="78">
        <f t="shared" si="200"/>
        <v>-584030.0421632299</v>
      </c>
      <c r="E324" s="78">
        <f t="shared" si="201"/>
        <v>-23090311.382763416</v>
      </c>
      <c r="F324" s="78">
        <f t="shared" si="202"/>
        <v>0.37688948287300061</v>
      </c>
      <c r="G324" s="79">
        <f t="shared" si="223"/>
        <v>-8702495.5164262634</v>
      </c>
      <c r="I324" s="12"/>
      <c r="J324" s="13">
        <f t="shared" si="203"/>
        <v>2034</v>
      </c>
      <c r="K324" s="78">
        <f ca="1">($N27-$D27+$N62-$D62)*Zalozenia!$C$45</f>
        <v>20503238.513913509</v>
      </c>
      <c r="L324" s="78">
        <f t="shared" si="204"/>
        <v>-1794605.3810942804</v>
      </c>
      <c r="M324" s="78">
        <f t="shared" si="205"/>
        <v>-22297843.895007789</v>
      </c>
      <c r="N324" s="78">
        <f t="shared" si="206"/>
        <v>0.37688948287300061</v>
      </c>
      <c r="O324" s="79">
        <f t="shared" si="224"/>
        <v>-8403822.8547723796</v>
      </c>
      <c r="Q324" s="12"/>
      <c r="R324" s="13">
        <f t="shared" si="207"/>
        <v>2034</v>
      </c>
      <c r="S324" s="78">
        <f ca="1">($O27-$E27+$O62-$E62)*Zalozenia!$C$45</f>
        <v>18698112.156572804</v>
      </c>
      <c r="T324" s="78">
        <f t="shared" si="208"/>
        <v>-909238.18611392181</v>
      </c>
      <c r="U324" s="78">
        <f t="shared" si="209"/>
        <v>-19607350.342686724</v>
      </c>
      <c r="V324" s="78">
        <f t="shared" si="210"/>
        <v>0.37688948287300061</v>
      </c>
      <c r="W324" s="79">
        <f t="shared" si="225"/>
        <v>-7389804.1311649503</v>
      </c>
      <c r="Y324" s="12"/>
      <c r="Z324" s="13">
        <f t="shared" si="211"/>
        <v>2034</v>
      </c>
      <c r="AA324" s="78">
        <f ca="1">($P27-$F27+$P62-$F62)*Zalozenia!$C$45</f>
        <v>17601608.083601665</v>
      </c>
      <c r="AB324" s="78">
        <f t="shared" si="212"/>
        <v>-975215.1744894305</v>
      </c>
      <c r="AC324" s="78">
        <f t="shared" si="213"/>
        <v>-18576823.258091096</v>
      </c>
      <c r="AD324" s="78">
        <f t="shared" si="214"/>
        <v>0.37688948287300061</v>
      </c>
      <c r="AE324" s="79">
        <f t="shared" si="226"/>
        <v>-7001409.3111650832</v>
      </c>
      <c r="AG324" s="12"/>
      <c r="AH324" s="13">
        <f t="shared" si="215"/>
        <v>2034</v>
      </c>
      <c r="AI324" s="78">
        <f ca="1">($Q27-$G27+$Q62-$G62)*Zalozenia!$C$45</f>
        <v>9233475.7919778004</v>
      </c>
      <c r="AJ324" s="78">
        <f t="shared" si="216"/>
        <v>-993421.68131899706</v>
      </c>
      <c r="AK324" s="78">
        <f t="shared" si="217"/>
        <v>-10226897.473296797</v>
      </c>
      <c r="AL324" s="78">
        <f t="shared" si="218"/>
        <v>0.37688948287300061</v>
      </c>
      <c r="AM324" s="79">
        <f t="shared" si="227"/>
        <v>-3854410.1001060265</v>
      </c>
      <c r="AO324" s="12"/>
      <c r="AP324" s="13">
        <f t="shared" si="219"/>
        <v>2034</v>
      </c>
      <c r="AQ324" s="78">
        <f ca="1">($R27-$H27+$R62-$H62)*Zalozenia!$C$45</f>
        <v>0</v>
      </c>
      <c r="AR324" s="78">
        <f t="shared" si="220"/>
        <v>0</v>
      </c>
      <c r="AS324" s="78">
        <f t="shared" si="221"/>
        <v>0</v>
      </c>
      <c r="AT324" s="78">
        <f t="shared" si="222"/>
        <v>0.37688948287300061</v>
      </c>
      <c r="AU324" s="79">
        <f t="shared" si="228"/>
        <v>0</v>
      </c>
    </row>
    <row r="325" spans="1:47" s="4" customFormat="1" ht="10.5">
      <c r="A325" s="12"/>
      <c r="B325" s="13">
        <f t="shared" si="199"/>
        <v>2035</v>
      </c>
      <c r="C325" s="78">
        <f ca="1">($M28-$C28+$M63-$C63)*Zalozenia!$C$45</f>
        <v>23058208.171444517</v>
      </c>
      <c r="D325" s="78">
        <f t="shared" si="200"/>
        <v>-619029.75680254283</v>
      </c>
      <c r="E325" s="78">
        <f t="shared" si="201"/>
        <v>-23677237.928247061</v>
      </c>
      <c r="F325" s="78">
        <f t="shared" si="202"/>
        <v>0.35894236464095297</v>
      </c>
      <c r="G325" s="79">
        <f t="shared" si="223"/>
        <v>-8498763.7701314576</v>
      </c>
      <c r="I325" s="12"/>
      <c r="J325" s="13">
        <f t="shared" si="203"/>
        <v>2035</v>
      </c>
      <c r="K325" s="78">
        <f ca="1">($N28-$D28+$N63-$D63)*Zalozenia!$C$45</f>
        <v>20996581.270431388</v>
      </c>
      <c r="L325" s="78">
        <f t="shared" si="204"/>
        <v>-1903257.5198733166</v>
      </c>
      <c r="M325" s="78">
        <f t="shared" si="205"/>
        <v>-22899838.790304706</v>
      </c>
      <c r="N325" s="78">
        <f t="shared" si="206"/>
        <v>0.35894236464095297</v>
      </c>
      <c r="O325" s="79">
        <f t="shared" si="224"/>
        <v>-8219722.2852885909</v>
      </c>
      <c r="Q325" s="12"/>
      <c r="R325" s="13">
        <f t="shared" si="207"/>
        <v>2035</v>
      </c>
      <c r="S325" s="78">
        <f ca="1">($O28-$E28+$O63-$E63)*Zalozenia!$C$45</f>
        <v>19135929.591359798</v>
      </c>
      <c r="T325" s="78">
        <f t="shared" si="208"/>
        <v>-964248.97337149223</v>
      </c>
      <c r="U325" s="78">
        <f t="shared" si="209"/>
        <v>-20100178.564731289</v>
      </c>
      <c r="V325" s="78">
        <f t="shared" si="210"/>
        <v>0.35894236464095297</v>
      </c>
      <c r="W325" s="79">
        <f t="shared" si="225"/>
        <v>-7214805.6237300448</v>
      </c>
      <c r="Y325" s="12"/>
      <c r="Z325" s="13">
        <f t="shared" si="211"/>
        <v>2035</v>
      </c>
      <c r="AA325" s="78">
        <f ca="1">($P28-$F28+$P63-$F63)*Zalozenia!$C$45</f>
        <v>18020562.936377693</v>
      </c>
      <c r="AB325" s="78">
        <f t="shared" si="212"/>
        <v>-1034857.7288504661</v>
      </c>
      <c r="AC325" s="78">
        <f t="shared" si="213"/>
        <v>-19055420.665228158</v>
      </c>
      <c r="AD325" s="78">
        <f t="shared" si="214"/>
        <v>0.35894236464095297</v>
      </c>
      <c r="AE325" s="79">
        <f t="shared" si="226"/>
        <v>-6839797.7528050765</v>
      </c>
      <c r="AG325" s="12"/>
      <c r="AH325" s="13">
        <f t="shared" si="215"/>
        <v>2035</v>
      </c>
      <c r="AI325" s="78">
        <f ca="1">($Q28-$G28+$Q63-$G63)*Zalozenia!$C$45</f>
        <v>9463896.8713658862</v>
      </c>
      <c r="AJ325" s="78">
        <f t="shared" si="216"/>
        <v>-1061276.6373593789</v>
      </c>
      <c r="AK325" s="78">
        <f t="shared" si="217"/>
        <v>-10525173.508725265</v>
      </c>
      <c r="AL325" s="78">
        <f t="shared" si="218"/>
        <v>0.35894236464095297</v>
      </c>
      <c r="AM325" s="79">
        <f t="shared" si="227"/>
        <v>-3777930.6674781623</v>
      </c>
      <c r="AO325" s="12"/>
      <c r="AP325" s="13">
        <f t="shared" si="219"/>
        <v>2035</v>
      </c>
      <c r="AQ325" s="78">
        <f ca="1">($R28-$H28+$R63-$H63)*Zalozenia!$C$45</f>
        <v>0</v>
      </c>
      <c r="AR325" s="78">
        <f t="shared" si="220"/>
        <v>0</v>
      </c>
      <c r="AS325" s="78">
        <f t="shared" si="221"/>
        <v>0</v>
      </c>
      <c r="AT325" s="78">
        <f t="shared" si="222"/>
        <v>0.35894236464095297</v>
      </c>
      <c r="AU325" s="79">
        <f t="shared" si="228"/>
        <v>0</v>
      </c>
    </row>
    <row r="326" spans="1:47" s="4" customFormat="1" ht="10.5">
      <c r="A326" s="12"/>
      <c r="B326" s="13">
        <f t="shared" si="199"/>
        <v>2036</v>
      </c>
      <c r="C326" s="78">
        <f ca="1">($M29-$C29+$M64-$C64)*Zalozenia!$C$45</f>
        <v>23624950.886904344</v>
      </c>
      <c r="D326" s="78">
        <f t="shared" si="200"/>
        <v>-655861.57268106355</v>
      </c>
      <c r="E326" s="78">
        <f t="shared" si="201"/>
        <v>-24280812.459585406</v>
      </c>
      <c r="F326" s="78">
        <f t="shared" si="202"/>
        <v>0.3418498710866219</v>
      </c>
      <c r="G326" s="79">
        <f t="shared" si="223"/>
        <v>-8300392.6091877138</v>
      </c>
      <c r="I326" s="12"/>
      <c r="J326" s="13">
        <f t="shared" si="203"/>
        <v>2036</v>
      </c>
      <c r="K326" s="78">
        <f ca="1">($N29-$D29+$N64-$D64)*Zalozenia!$C$45</f>
        <v>21503146.40882251</v>
      </c>
      <c r="L326" s="78">
        <f t="shared" si="204"/>
        <v>-2017527.2132537367</v>
      </c>
      <c r="M326" s="78">
        <f t="shared" si="205"/>
        <v>-23520673.622076247</v>
      </c>
      <c r="N326" s="78">
        <f t="shared" si="206"/>
        <v>0.3418498710866219</v>
      </c>
      <c r="O326" s="79">
        <f t="shared" si="224"/>
        <v>-8040539.245577273</v>
      </c>
      <c r="Q326" s="12"/>
      <c r="R326" s="13">
        <f t="shared" si="207"/>
        <v>2036</v>
      </c>
      <c r="S326" s="78">
        <f ca="1">($O29-$E29+$O64-$E64)*Zalozenia!$C$45</f>
        <v>19585454.054759689</v>
      </c>
      <c r="T326" s="78">
        <f t="shared" si="208"/>
        <v>-1022085.1987702723</v>
      </c>
      <c r="U326" s="78">
        <f t="shared" si="209"/>
        <v>-20607539.253529962</v>
      </c>
      <c r="V326" s="78">
        <f t="shared" si="210"/>
        <v>0.3418498710866219</v>
      </c>
      <c r="W326" s="79">
        <f t="shared" si="225"/>
        <v>-7044684.6372317178</v>
      </c>
      <c r="Y326" s="12"/>
      <c r="Z326" s="13">
        <f t="shared" si="211"/>
        <v>2036</v>
      </c>
      <c r="AA326" s="78">
        <f ca="1">($P29-$F29+$P64-$F64)*Zalozenia!$C$45</f>
        <v>18450736.180629537</v>
      </c>
      <c r="AB326" s="78">
        <f t="shared" si="212"/>
        <v>-1097599.6414358662</v>
      </c>
      <c r="AC326" s="78">
        <f t="shared" si="213"/>
        <v>-19548335.822065402</v>
      </c>
      <c r="AD326" s="78">
        <f t="shared" si="214"/>
        <v>0.3418498710866219</v>
      </c>
      <c r="AE326" s="79">
        <f t="shared" si="226"/>
        <v>-6682596.080731051</v>
      </c>
      <c r="AG326" s="12"/>
      <c r="AH326" s="13">
        <f t="shared" si="215"/>
        <v>2036</v>
      </c>
      <c r="AI326" s="78">
        <f ca="1">($Q29-$G29+$Q64-$G64)*Zalozenia!$C$45</f>
        <v>9700512.1520698592</v>
      </c>
      <c r="AJ326" s="78">
        <f t="shared" si="216"/>
        <v>-1132737.1630954938</v>
      </c>
      <c r="AK326" s="78">
        <f t="shared" si="217"/>
        <v>-10833249.315165352</v>
      </c>
      <c r="AL326" s="78">
        <f t="shared" si="218"/>
        <v>0.3418498710866219</v>
      </c>
      <c r="AM326" s="79">
        <f t="shared" si="227"/>
        <v>-3703344.8818385107</v>
      </c>
      <c r="AO326" s="12"/>
      <c r="AP326" s="13">
        <f t="shared" si="219"/>
        <v>2036</v>
      </c>
      <c r="AQ326" s="78">
        <f ca="1">($R29-$H29+$R64-$H64)*Zalozenia!$C$45</f>
        <v>0</v>
      </c>
      <c r="AR326" s="78">
        <f t="shared" si="220"/>
        <v>0</v>
      </c>
      <c r="AS326" s="78">
        <f t="shared" si="221"/>
        <v>0</v>
      </c>
      <c r="AT326" s="78">
        <f t="shared" si="222"/>
        <v>0.3418498710866219</v>
      </c>
      <c r="AU326" s="79">
        <f t="shared" si="228"/>
        <v>0</v>
      </c>
    </row>
    <row r="327" spans="1:47" s="4" customFormat="1" ht="10.5">
      <c r="A327" s="12"/>
      <c r="B327" s="13">
        <f t="shared" si="199"/>
        <v>2037</v>
      </c>
      <c r="C327" s="78">
        <f ca="1">($M30-$C30+$M65-$C65)*Zalozenia!$C$45</f>
        <v>24206910.029186208</v>
      </c>
      <c r="D327" s="78">
        <f t="shared" si="200"/>
        <v>-694579.87214904511</v>
      </c>
      <c r="E327" s="78">
        <f t="shared" si="201"/>
        <v>-24901489.901335254</v>
      </c>
      <c r="F327" s="78">
        <f t="shared" si="202"/>
        <v>0.32557130579678267</v>
      </c>
      <c r="G327" s="79">
        <f t="shared" si="223"/>
        <v>-8107210.5834631156</v>
      </c>
      <c r="I327" s="12"/>
      <c r="J327" s="13">
        <f t="shared" si="203"/>
        <v>2037</v>
      </c>
      <c r="K327" s="78">
        <f ca="1">($N30-$D30+$N65-$D65)*Zalozenia!$C$45</f>
        <v>22023291.349437159</v>
      </c>
      <c r="L327" s="78">
        <f t="shared" si="204"/>
        <v>-2137552.743858634</v>
      </c>
      <c r="M327" s="78">
        <f t="shared" si="205"/>
        <v>-24160844.093295794</v>
      </c>
      <c r="N327" s="78">
        <f t="shared" si="206"/>
        <v>0.32557130579678267</v>
      </c>
      <c r="O327" s="79">
        <f t="shared" si="224"/>
        <v>-7866077.5606067954</v>
      </c>
      <c r="Q327" s="12"/>
      <c r="R327" s="13">
        <f t="shared" si="207"/>
        <v>2037</v>
      </c>
      <c r="S327" s="78">
        <f ca="1">($O30-$E30+$O65-$E65)*Zalozenia!$C$45</f>
        <v>20047001.950030457</v>
      </c>
      <c r="T327" s="78">
        <f t="shared" si="208"/>
        <v>-1082814.516248805</v>
      </c>
      <c r="U327" s="78">
        <f t="shared" si="209"/>
        <v>-21129816.466279261</v>
      </c>
      <c r="V327" s="78">
        <f t="shared" si="210"/>
        <v>0.32557130579678267</v>
      </c>
      <c r="W327" s="79">
        <f t="shared" si="225"/>
        <v>-6879261.9381728992</v>
      </c>
      <c r="Y327" s="12"/>
      <c r="Z327" s="13">
        <f t="shared" si="211"/>
        <v>2037</v>
      </c>
      <c r="AA327" s="78">
        <f ca="1">($P30-$F30+$P65-$F65)*Zalozenia!$C$45</f>
        <v>18892431.045172043</v>
      </c>
      <c r="AB327" s="78">
        <f t="shared" si="212"/>
        <v>-1163516.7055899496</v>
      </c>
      <c r="AC327" s="78">
        <f t="shared" si="213"/>
        <v>-20055947.750761993</v>
      </c>
      <c r="AD327" s="78">
        <f t="shared" si="214"/>
        <v>0.32557130579678267</v>
      </c>
      <c r="AE327" s="79">
        <f t="shared" si="226"/>
        <v>-6529641.0982076284</v>
      </c>
      <c r="AG327" s="12"/>
      <c r="AH327" s="13">
        <f t="shared" si="215"/>
        <v>2037</v>
      </c>
      <c r="AI327" s="78">
        <f ca="1">($Q30-$G30+$Q65-$G65)*Zalozenia!$C$45</f>
        <v>9943489.1098575369</v>
      </c>
      <c r="AJ327" s="78">
        <f t="shared" si="216"/>
        <v>-1207853.932070388</v>
      </c>
      <c r="AK327" s="78">
        <f t="shared" si="217"/>
        <v>-11151343.041927924</v>
      </c>
      <c r="AL327" s="78">
        <f t="shared" si="218"/>
        <v>0.32557130579678267</v>
      </c>
      <c r="AM327" s="79">
        <f t="shared" si="227"/>
        <v>-3630557.3155483408</v>
      </c>
      <c r="AO327" s="12"/>
      <c r="AP327" s="13">
        <f t="shared" si="219"/>
        <v>2037</v>
      </c>
      <c r="AQ327" s="78">
        <f ca="1">($R30-$H30+$R65-$H65)*Zalozenia!$C$45</f>
        <v>0</v>
      </c>
      <c r="AR327" s="78">
        <f t="shared" si="220"/>
        <v>0</v>
      </c>
      <c r="AS327" s="78">
        <f t="shared" si="221"/>
        <v>0</v>
      </c>
      <c r="AT327" s="78">
        <f t="shared" si="222"/>
        <v>0.32557130579678267</v>
      </c>
      <c r="AU327" s="79">
        <f t="shared" si="228"/>
        <v>0</v>
      </c>
    </row>
    <row r="328" spans="1:47" s="4" customFormat="1" ht="10.5">
      <c r="A328" s="12"/>
      <c r="B328" s="13">
        <f t="shared" si="199"/>
        <v>2038</v>
      </c>
      <c r="C328" s="78">
        <f ca="1">($M31-$C31+$M66-$C66)*Zalozenia!$C$45</f>
        <v>24804496.974708371</v>
      </c>
      <c r="D328" s="78">
        <f t="shared" si="200"/>
        <v>-735233.57150690688</v>
      </c>
      <c r="E328" s="78">
        <f t="shared" si="201"/>
        <v>-25539730.546215277</v>
      </c>
      <c r="F328" s="78">
        <f t="shared" si="202"/>
        <v>0.31006791028265024</v>
      </c>
      <c r="G328" s="79">
        <f t="shared" si="223"/>
        <v>-7919050.8796469402</v>
      </c>
      <c r="I328" s="12"/>
      <c r="J328" s="13">
        <f t="shared" si="203"/>
        <v>2038</v>
      </c>
      <c r="K328" s="78">
        <f ca="1">($N31-$D31+$N66-$D66)*Zalozenia!$C$45</f>
        <v>22557383.180355947</v>
      </c>
      <c r="L328" s="78">
        <f t="shared" si="204"/>
        <v>-2263448.9655993977</v>
      </c>
      <c r="M328" s="78">
        <f t="shared" si="205"/>
        <v>-24820832.145955347</v>
      </c>
      <c r="N328" s="78">
        <f t="shared" si="206"/>
        <v>0.31006791028265024</v>
      </c>
      <c r="O328" s="79">
        <f t="shared" si="224"/>
        <v>-7696143.5549728032</v>
      </c>
      <c r="Q328" s="12"/>
      <c r="R328" s="13">
        <f t="shared" si="207"/>
        <v>2038</v>
      </c>
      <c r="S328" s="78">
        <f ca="1">($O31-$E31+$O66-$E66)*Zalozenia!$C$45</f>
        <v>20520898.238594472</v>
      </c>
      <c r="T328" s="78">
        <f t="shared" si="208"/>
        <v>-1146492.6673474256</v>
      </c>
      <c r="U328" s="78">
        <f t="shared" si="209"/>
        <v>-21667390.905941896</v>
      </c>
      <c r="V328" s="78">
        <f t="shared" si="210"/>
        <v>0.31006791028265024</v>
      </c>
      <c r="W328" s="79">
        <f t="shared" si="225"/>
        <v>-6718362.6194827035</v>
      </c>
      <c r="Y328" s="12"/>
      <c r="Z328" s="13">
        <f t="shared" si="211"/>
        <v>2038</v>
      </c>
      <c r="AA328" s="78">
        <f ca="1">($P31-$F31+$P66-$F66)*Zalozenia!$C$45</f>
        <v>19345958.960702132</v>
      </c>
      <c r="AB328" s="78">
        <f t="shared" si="212"/>
        <v>-1232671.5670634375</v>
      </c>
      <c r="AC328" s="78">
        <f t="shared" si="213"/>
        <v>-20578630.527765568</v>
      </c>
      <c r="AD328" s="78">
        <f t="shared" si="214"/>
        <v>0.31006791028265024</v>
      </c>
      <c r="AE328" s="79">
        <f t="shared" si="226"/>
        <v>-6380772.9642230216</v>
      </c>
      <c r="AG328" s="12"/>
      <c r="AH328" s="13">
        <f t="shared" si="215"/>
        <v>2038</v>
      </c>
      <c r="AI328" s="78">
        <f ca="1">($Q31-$G31+$Q66-$G66)*Zalozenia!$C$45</f>
        <v>10192999.750561519</v>
      </c>
      <c r="AJ328" s="78">
        <f t="shared" si="216"/>
        <v>-1286652.2231149813</v>
      </c>
      <c r="AK328" s="78">
        <f t="shared" si="217"/>
        <v>-11479651.973676499</v>
      </c>
      <c r="AL328" s="78">
        <f t="shared" si="218"/>
        <v>0.31006791028265024</v>
      </c>
      <c r="AM328" s="79">
        <f t="shared" si="227"/>
        <v>-3559471.6982499734</v>
      </c>
      <c r="AO328" s="12"/>
      <c r="AP328" s="13">
        <f t="shared" si="219"/>
        <v>2038</v>
      </c>
      <c r="AQ328" s="78">
        <f ca="1">($R31-$H31+$R66-$H66)*Zalozenia!$C$45</f>
        <v>0</v>
      </c>
      <c r="AR328" s="78">
        <f t="shared" si="220"/>
        <v>0</v>
      </c>
      <c r="AS328" s="78">
        <f t="shared" si="221"/>
        <v>0</v>
      </c>
      <c r="AT328" s="78">
        <f t="shared" si="222"/>
        <v>0.31006791028265024</v>
      </c>
      <c r="AU328" s="79">
        <f t="shared" si="228"/>
        <v>0</v>
      </c>
    </row>
    <row r="329" spans="1:47" s="4" customFormat="1" ht="10.5">
      <c r="A329" s="12"/>
      <c r="B329" s="13">
        <f t="shared" si="199"/>
        <v>2039</v>
      </c>
      <c r="C329" s="78">
        <f ca="1">($M32-$C32+$M67-$C67)*Zalozenia!$C$45</f>
        <v>25418134.227165371</v>
      </c>
      <c r="D329" s="78">
        <f t="shared" si="200"/>
        <v>-778025.0044499815</v>
      </c>
      <c r="E329" s="78">
        <f t="shared" si="201"/>
        <v>-26196159.231615353</v>
      </c>
      <c r="F329" s="78">
        <f t="shared" si="202"/>
        <v>0.29530277169776209</v>
      </c>
      <c r="G329" s="79">
        <f t="shared" si="223"/>
        <v>-7735798.428931931</v>
      </c>
      <c r="I329" s="12"/>
      <c r="J329" s="13">
        <f t="shared" si="203"/>
        <v>2039</v>
      </c>
      <c r="K329" s="78">
        <f ca="1">($N32-$D32+$N67-$D67)*Zalozenia!$C$45</f>
        <v>23105798.918900922</v>
      </c>
      <c r="L329" s="78">
        <f t="shared" si="204"/>
        <v>-2395906.742869176</v>
      </c>
      <c r="M329" s="78">
        <f t="shared" si="205"/>
        <v>-25501705.661770098</v>
      </c>
      <c r="N329" s="78">
        <f t="shared" si="206"/>
        <v>0.29530277169776209</v>
      </c>
      <c r="O329" s="79">
        <f t="shared" si="224"/>
        <v>-7530724.3649412217</v>
      </c>
      <c r="Q329" s="12"/>
      <c r="R329" s="13">
        <f t="shared" si="207"/>
        <v>2039</v>
      </c>
      <c r="S329" s="78">
        <f ca="1">($O32-$E32+$O67-$E67)*Zalozenia!$C$45</f>
        <v>21007476.671535783</v>
      </c>
      <c r="T329" s="78">
        <f t="shared" si="208"/>
        <v>-1213468.7108777582</v>
      </c>
      <c r="U329" s="78">
        <f t="shared" si="209"/>
        <v>-22220945.38241354</v>
      </c>
      <c r="V329" s="78">
        <f t="shared" si="210"/>
        <v>0.29530277169776209</v>
      </c>
      <c r="W329" s="79">
        <f t="shared" si="225"/>
        <v>-6561906.7611713065</v>
      </c>
      <c r="Y329" s="12"/>
      <c r="Z329" s="13">
        <f t="shared" si="211"/>
        <v>2039</v>
      </c>
      <c r="AA329" s="78">
        <f ca="1">($P32-$F32+$P67-$F67)*Zalozenia!$C$45</f>
        <v>19811639.781658828</v>
      </c>
      <c r="AB329" s="78">
        <f t="shared" si="212"/>
        <v>-1305448.5276487113</v>
      </c>
      <c r="AC329" s="78">
        <f t="shared" si="213"/>
        <v>-21117088.309307538</v>
      </c>
      <c r="AD329" s="78">
        <f t="shared" si="214"/>
        <v>0.29530277169776209</v>
      </c>
      <c r="AE329" s="79">
        <f t="shared" si="226"/>
        <v>-6235934.7079249248</v>
      </c>
      <c r="AG329" s="12"/>
      <c r="AH329" s="13">
        <f t="shared" si="215"/>
        <v>2039</v>
      </c>
      <c r="AI329" s="78">
        <f ca="1">($Q32-$G32+$Q67-$G67)*Zalozenia!$C$45</f>
        <v>10449220.732617108</v>
      </c>
      <c r="AJ329" s="78">
        <f t="shared" si="216"/>
        <v>-1369694.0316582518</v>
      </c>
      <c r="AK329" s="78">
        <f t="shared" si="217"/>
        <v>-11818914.764275361</v>
      </c>
      <c r="AL329" s="78">
        <f t="shared" si="218"/>
        <v>0.29530277169776209</v>
      </c>
      <c r="AM329" s="79">
        <f t="shared" si="227"/>
        <v>-3490158.2883501165</v>
      </c>
      <c r="AO329" s="12"/>
      <c r="AP329" s="13">
        <f t="shared" si="219"/>
        <v>2039</v>
      </c>
      <c r="AQ329" s="78">
        <f ca="1">($R32-$H32+$R67-$H67)*Zalozenia!$C$45</f>
        <v>0</v>
      </c>
      <c r="AR329" s="78">
        <f t="shared" si="220"/>
        <v>0</v>
      </c>
      <c r="AS329" s="78">
        <f t="shared" si="221"/>
        <v>0</v>
      </c>
      <c r="AT329" s="78">
        <f t="shared" si="222"/>
        <v>0.29530277169776209</v>
      </c>
      <c r="AU329" s="79">
        <f t="shared" si="228"/>
        <v>0</v>
      </c>
    </row>
    <row r="330" spans="1:47" s="4" customFormat="1" ht="10.5">
      <c r="A330" s="12"/>
      <c r="B330" s="13">
        <f t="shared" si="199"/>
        <v>2040</v>
      </c>
      <c r="C330" s="78">
        <f ca="1">($M33-$C33+$M68-$C68)*Zalozenia!$C$45</f>
        <v>26048255.718519915</v>
      </c>
      <c r="D330" s="78">
        <f t="shared" si="200"/>
        <v>-807357.01535152562</v>
      </c>
      <c r="E330" s="78">
        <f t="shared" si="201"/>
        <v>-26855612.733871441</v>
      </c>
      <c r="F330" s="78">
        <f t="shared" si="202"/>
        <v>0.28124073495024959</v>
      </c>
      <c r="G330" s="79">
        <f t="shared" si="223"/>
        <v>-7552892.2628132859</v>
      </c>
      <c r="I330" s="12"/>
      <c r="J330" s="13">
        <f t="shared" si="203"/>
        <v>2040</v>
      </c>
      <c r="K330" s="78">
        <f ca="1">($N33-$D33+$N68-$D68)*Zalozenia!$C$45</f>
        <v>23668925.780220561</v>
      </c>
      <c r="L330" s="78">
        <f t="shared" si="204"/>
        <v>-2482979.6230931999</v>
      </c>
      <c r="M330" s="78">
        <f t="shared" si="205"/>
        <v>-26151905.40331376</v>
      </c>
      <c r="N330" s="78">
        <f t="shared" si="206"/>
        <v>0.28124073495024959</v>
      </c>
      <c r="O330" s="79">
        <f t="shared" si="224"/>
        <v>-7354981.095977365</v>
      </c>
      <c r="Q330" s="12"/>
      <c r="R330" s="13">
        <f t="shared" si="207"/>
        <v>2040</v>
      </c>
      <c r="S330" s="78">
        <f ca="1">($O33-$E33+$O68-$E68)*Zalozenia!$C$45</f>
        <v>21507080.027359318</v>
      </c>
      <c r="T330" s="78">
        <f t="shared" si="208"/>
        <v>-1261219.1006701859</v>
      </c>
      <c r="U330" s="78">
        <f t="shared" si="209"/>
        <v>-22768299.128029503</v>
      </c>
      <c r="V330" s="78">
        <f t="shared" si="210"/>
        <v>0.28124073495024959</v>
      </c>
      <c r="W330" s="79">
        <f t="shared" si="225"/>
        <v>-6403373.1803341443</v>
      </c>
      <c r="Y330" s="12"/>
      <c r="Z330" s="13">
        <f t="shared" si="211"/>
        <v>2040</v>
      </c>
      <c r="AA330" s="78">
        <f ca="1">($P33-$F33+$P68-$F68)*Zalozenia!$C$45</f>
        <v>20289802.014084548</v>
      </c>
      <c r="AB330" s="78">
        <f t="shared" si="212"/>
        <v>-1345577.5702260039</v>
      </c>
      <c r="AC330" s="78">
        <f t="shared" si="213"/>
        <v>-21635379.58431055</v>
      </c>
      <c r="AD330" s="78">
        <f t="shared" si="214"/>
        <v>0.28124073495024959</v>
      </c>
      <c r="AE330" s="79">
        <f t="shared" si="226"/>
        <v>-6084750.055219125</v>
      </c>
      <c r="AG330" s="12"/>
      <c r="AH330" s="13">
        <f t="shared" si="215"/>
        <v>2040</v>
      </c>
      <c r="AI330" s="78">
        <f ca="1">($Q33-$G33+$Q68-$G68)*Zalozenia!$C$45</f>
        <v>10712333.492914909</v>
      </c>
      <c r="AJ330" s="78">
        <f t="shared" si="216"/>
        <v>-1413926.3774652933</v>
      </c>
      <c r="AK330" s="78">
        <f t="shared" si="217"/>
        <v>-12126259.870380202</v>
      </c>
      <c r="AL330" s="78">
        <f t="shared" si="218"/>
        <v>0.28124073495024959</v>
      </c>
      <c r="AM330" s="79">
        <f t="shared" si="227"/>
        <v>-3410398.2381434464</v>
      </c>
      <c r="AO330" s="12"/>
      <c r="AP330" s="13">
        <f t="shared" si="219"/>
        <v>2040</v>
      </c>
      <c r="AQ330" s="78">
        <f ca="1">($R33-$H33+$R68-$H68)*Zalozenia!$C$45</f>
        <v>2437582.1513979663</v>
      </c>
      <c r="AR330" s="78">
        <f t="shared" si="220"/>
        <v>-15287450.239870159</v>
      </c>
      <c r="AS330" s="78">
        <f t="shared" si="221"/>
        <v>-17725032.391268127</v>
      </c>
      <c r="AT330" s="78">
        <f t="shared" si="222"/>
        <v>0.28124073495024959</v>
      </c>
      <c r="AU330" s="79">
        <f t="shared" si="228"/>
        <v>-4985001.1367372284</v>
      </c>
    </row>
    <row r="331" spans="1:47" s="4" customFormat="1" ht="10.5">
      <c r="A331" s="12"/>
      <c r="B331" s="13">
        <f t="shared" si="199"/>
        <v>2041</v>
      </c>
      <c r="C331" s="78">
        <f ca="1">($M34-$C34+$M69-$C69)*Zalozenia!$C$45</f>
        <v>26695307.118136622</v>
      </c>
      <c r="D331" s="78">
        <f t="shared" si="200"/>
        <v>-853878.06787868741</v>
      </c>
      <c r="E331" s="78">
        <f t="shared" si="201"/>
        <v>-27549185.186015308</v>
      </c>
      <c r="F331" s="78">
        <f t="shared" si="202"/>
        <v>0.2678483190002377</v>
      </c>
      <c r="G331" s="79">
        <f t="shared" si="223"/>
        <v>-7379002.9419004507</v>
      </c>
      <c r="I331" s="12"/>
      <c r="J331" s="13">
        <f t="shared" si="203"/>
        <v>2041</v>
      </c>
      <c r="K331" s="78">
        <f ca="1">($N34-$D34+$N69-$D69)*Zalozenia!$C$45</f>
        <v>24247161.453140035</v>
      </c>
      <c r="L331" s="78">
        <f t="shared" si="204"/>
        <v>-2626788.5426956369</v>
      </c>
      <c r="M331" s="78">
        <f t="shared" si="205"/>
        <v>-26873949.995835673</v>
      </c>
      <c r="N331" s="78">
        <f t="shared" si="206"/>
        <v>0.2678483190002377</v>
      </c>
      <c r="O331" s="79">
        <f t="shared" si="224"/>
        <v>-7198142.3312810296</v>
      </c>
      <c r="Q331" s="12"/>
      <c r="R331" s="13">
        <f t="shared" si="207"/>
        <v>2041</v>
      </c>
      <c r="S331" s="78">
        <f ca="1">($O34-$E34+$O69-$E69)*Zalozenia!$C$45</f>
        <v>22020060.356181595</v>
      </c>
      <c r="T331" s="78">
        <f t="shared" si="208"/>
        <v>-1333961.55865712</v>
      </c>
      <c r="U331" s="78">
        <f t="shared" si="209"/>
        <v>-23354021.914838716</v>
      </c>
      <c r="V331" s="78">
        <f t="shared" si="210"/>
        <v>0.2678483190002377</v>
      </c>
      <c r="W331" s="79">
        <f t="shared" si="225"/>
        <v>-6255335.511784263</v>
      </c>
      <c r="Y331" s="12"/>
      <c r="Z331" s="13">
        <f t="shared" si="211"/>
        <v>2041</v>
      </c>
      <c r="AA331" s="78">
        <f ca="1">($P34-$F34+$P69-$F69)*Zalozenia!$C$45</f>
        <v>20780783.049650043</v>
      </c>
      <c r="AB331" s="78">
        <f t="shared" si="212"/>
        <v>-1424475.8899801464</v>
      </c>
      <c r="AC331" s="78">
        <f t="shared" si="213"/>
        <v>-22205258.939630188</v>
      </c>
      <c r="AD331" s="78">
        <f t="shared" si="214"/>
        <v>0.2678483190002377</v>
      </c>
      <c r="AE331" s="79">
        <f t="shared" si="226"/>
        <v>-5947641.279944947</v>
      </c>
      <c r="AG331" s="12"/>
      <c r="AH331" s="13">
        <f t="shared" si="215"/>
        <v>2041</v>
      </c>
      <c r="AI331" s="78">
        <f ca="1">($Q34-$G34+$Q69-$G69)*Zalozenia!$C$45</f>
        <v>10982524.376057724</v>
      </c>
      <c r="AJ331" s="78">
        <f t="shared" si="216"/>
        <v>-1504138.8218356266</v>
      </c>
      <c r="AK331" s="78">
        <f t="shared" si="217"/>
        <v>-12486663.197893349</v>
      </c>
      <c r="AL331" s="78">
        <f t="shared" si="218"/>
        <v>0.2678483190002377</v>
      </c>
      <c r="AM331" s="79">
        <f t="shared" si="227"/>
        <v>-3344531.7474778662</v>
      </c>
      <c r="AO331" s="12"/>
      <c r="AP331" s="13">
        <f t="shared" si="219"/>
        <v>2041</v>
      </c>
      <c r="AQ331" s="78">
        <f ca="1">($R34-$H34+$R69-$H69)*Zalozenia!$C$45</f>
        <v>2497912.45662867</v>
      </c>
      <c r="AR331" s="78">
        <f t="shared" si="220"/>
        <v>-16724724.962948523</v>
      </c>
      <c r="AS331" s="78">
        <f t="shared" si="221"/>
        <v>-19222637.419577193</v>
      </c>
      <c r="AT331" s="78">
        <f t="shared" si="222"/>
        <v>0.2678483190002377</v>
      </c>
      <c r="AU331" s="79">
        <f t="shared" si="228"/>
        <v>-5148751.1195848184</v>
      </c>
    </row>
    <row r="332" spans="1:47" s="4" customFormat="1" ht="10.5">
      <c r="A332" s="12"/>
      <c r="B332" s="13">
        <f t="shared" si="199"/>
        <v>2042</v>
      </c>
      <c r="C332" s="78">
        <f ca="1">($M35-$C35+$M70-$C70)*Zalozenia!$C$45</f>
        <v>27359746.150277831</v>
      </c>
      <c r="D332" s="78">
        <f t="shared" si="200"/>
        <v>-902792.78362410364</v>
      </c>
      <c r="E332" s="78">
        <f t="shared" si="201"/>
        <v>-28262538.933901936</v>
      </c>
      <c r="F332" s="78">
        <f t="shared" si="202"/>
        <v>0.25509363714308358</v>
      </c>
      <c r="G332" s="79">
        <f t="shared" si="223"/>
        <v>-7209593.8515470531</v>
      </c>
      <c r="I332" s="12"/>
      <c r="J332" s="13">
        <f t="shared" si="203"/>
        <v>2042</v>
      </c>
      <c r="K332" s="78">
        <f ca="1">($N35-$D35+$N70-$D70)*Zalozenia!$C$45</f>
        <v>24840914.383473109</v>
      </c>
      <c r="L332" s="78">
        <f t="shared" si="204"/>
        <v>-2777912.1972333509</v>
      </c>
      <c r="M332" s="78">
        <f t="shared" si="205"/>
        <v>-27618826.580706462</v>
      </c>
      <c r="N332" s="78">
        <f t="shared" si="206"/>
        <v>0.25509363714308358</v>
      </c>
      <c r="O332" s="79">
        <f t="shared" si="224"/>
        <v>-7045386.9260964859</v>
      </c>
      <c r="Q332" s="12"/>
      <c r="R332" s="13">
        <f t="shared" si="207"/>
        <v>2042</v>
      </c>
      <c r="S332" s="78">
        <f ca="1">($O35-$E35+$O70-$E70)*Zalozenia!$C$45</f>
        <v>22546779.230526686</v>
      </c>
      <c r="T332" s="78">
        <f t="shared" si="208"/>
        <v>-1410377.1408060375</v>
      </c>
      <c r="U332" s="78">
        <f t="shared" si="209"/>
        <v>-23957156.371332724</v>
      </c>
      <c r="V332" s="78">
        <f t="shared" si="210"/>
        <v>0.25509363714308358</v>
      </c>
      <c r="W332" s="79">
        <f t="shared" si="225"/>
        <v>-6111318.1543688625</v>
      </c>
      <c r="Y332" s="12"/>
      <c r="Z332" s="13">
        <f t="shared" si="211"/>
        <v>2042</v>
      </c>
      <c r="AA332" s="78">
        <f ca="1">($P35-$F35+$P70-$F70)*Zalozenia!$C$45</f>
        <v>21284929.406009752</v>
      </c>
      <c r="AB332" s="78">
        <f t="shared" si="212"/>
        <v>-1507410.4828516233</v>
      </c>
      <c r="AC332" s="78">
        <f t="shared" si="213"/>
        <v>-22792339.888861377</v>
      </c>
      <c r="AD332" s="78">
        <f t="shared" si="214"/>
        <v>0.25509363714308358</v>
      </c>
      <c r="AE332" s="79">
        <f t="shared" si="226"/>
        <v>-5814180.8812510343</v>
      </c>
      <c r="AG332" s="12"/>
      <c r="AH332" s="13">
        <f t="shared" si="215"/>
        <v>2042</v>
      </c>
      <c r="AI332" s="78">
        <f ca="1">($Q35-$G35+$Q70-$G70)*Zalozenia!$C$45</f>
        <v>11259984.767113868</v>
      </c>
      <c r="AJ332" s="78">
        <f t="shared" si="216"/>
        <v>-1599053.5956787635</v>
      </c>
      <c r="AK332" s="78">
        <f t="shared" si="217"/>
        <v>-12859038.362792632</v>
      </c>
      <c r="AL332" s="78">
        <f t="shared" si="218"/>
        <v>0.25509363714308358</v>
      </c>
      <c r="AM332" s="79">
        <f t="shared" si="227"/>
        <v>-3280258.8661272153</v>
      </c>
      <c r="AO332" s="12"/>
      <c r="AP332" s="13">
        <f t="shared" si="219"/>
        <v>2042</v>
      </c>
      <c r="AQ332" s="78">
        <f ca="1">($R35-$H35+$R70-$H70)*Zalozenia!$C$45</f>
        <v>2559863.4840319338</v>
      </c>
      <c r="AR332" s="78">
        <f t="shared" si="220"/>
        <v>-18228561.317061607</v>
      </c>
      <c r="AS332" s="78">
        <f t="shared" si="221"/>
        <v>-20788424.801093541</v>
      </c>
      <c r="AT332" s="78">
        <f t="shared" si="222"/>
        <v>0.25509363714308358</v>
      </c>
      <c r="AU332" s="79">
        <f t="shared" si="228"/>
        <v>-5302994.8929864354</v>
      </c>
    </row>
    <row r="333" spans="1:47" s="4" customFormat="1" ht="10.5">
      <c r="A333" s="12"/>
      <c r="B333" s="13">
        <v>2043</v>
      </c>
      <c r="C333" s="78">
        <f ca="1">($M36-$C36+$M71-$C71)*Zalozenia!$C$45</f>
        <v>28042042.920187648</v>
      </c>
      <c r="D333" s="78">
        <f t="shared" si="200"/>
        <v>-947890.90937960835</v>
      </c>
      <c r="E333" s="78">
        <f t="shared" si="201"/>
        <v>-28989933.829567257</v>
      </c>
      <c r="F333" s="78">
        <f t="shared" si="202"/>
        <v>0.24294632108865097</v>
      </c>
      <c r="G333" s="79">
        <f t="shared" si="223"/>
        <v>-7042997.7724967916</v>
      </c>
      <c r="I333" s="12"/>
      <c r="J333" s="13">
        <f t="shared" si="203"/>
        <v>2043</v>
      </c>
      <c r="K333" s="78">
        <f ca="1">($N36-$D36+$N71-$D71)*Zalozenia!$C$45</f>
        <v>25450604.064997736</v>
      </c>
      <c r="L333" s="78">
        <f t="shared" si="204"/>
        <v>-2912827.8979467736</v>
      </c>
      <c r="M333" s="78">
        <f t="shared" si="205"/>
        <v>-28363431.962944511</v>
      </c>
      <c r="N333" s="78">
        <f t="shared" si="206"/>
        <v>0.24294632108865097</v>
      </c>
      <c r="O333" s="79">
        <f t="shared" si="224"/>
        <v>-6890791.4488456231</v>
      </c>
      <c r="Q333" s="12"/>
      <c r="R333" s="13">
        <f t="shared" si="207"/>
        <v>2043</v>
      </c>
      <c r="S333" s="78">
        <f ca="1">($O36-$E36+$O71-$E71)*Zalozenia!$C$45</f>
        <v>23087608.002906241</v>
      </c>
      <c r="T333" s="78">
        <f t="shared" si="208"/>
        <v>-1478636.8898825303</v>
      </c>
      <c r="U333" s="78">
        <f t="shared" si="209"/>
        <v>-24566244.892788772</v>
      </c>
      <c r="V333" s="78">
        <f t="shared" si="210"/>
        <v>0.24294632108865097</v>
      </c>
      <c r="W333" s="79">
        <f t="shared" si="225"/>
        <v>-5968278.819665893</v>
      </c>
      <c r="Y333" s="12"/>
      <c r="Z333" s="13">
        <f t="shared" si="211"/>
        <v>2043</v>
      </c>
      <c r="AA333" s="78">
        <f ca="1">($P36-$F36+$P71-$F71)*Zalozenia!$C$45</f>
        <v>21802596.973658726</v>
      </c>
      <c r="AB333" s="78">
        <f t="shared" si="212"/>
        <v>-1580985.3858445354</v>
      </c>
      <c r="AC333" s="78">
        <f t="shared" si="213"/>
        <v>-23383582.359503262</v>
      </c>
      <c r="AD333" s="78">
        <f t="shared" si="214"/>
        <v>0.24294632108865097</v>
      </c>
      <c r="AE333" s="79">
        <f t="shared" si="226"/>
        <v>-5680955.3081147941</v>
      </c>
      <c r="AG333" s="12"/>
      <c r="AH333" s="13">
        <f t="shared" si="215"/>
        <v>2043</v>
      </c>
      <c r="AI333" s="78">
        <f ca="1">($Q36-$G36+$Q71-$G71)*Zalozenia!$C$45</f>
        <v>11544911.22796146</v>
      </c>
      <c r="AJ333" s="78">
        <f t="shared" si="216"/>
        <v>-1676211.7284111909</v>
      </c>
      <c r="AK333" s="78">
        <f t="shared" si="217"/>
        <v>-13221122.95637265</v>
      </c>
      <c r="AL333" s="78">
        <f t="shared" si="218"/>
        <v>0.24294632108865097</v>
      </c>
      <c r="AM333" s="79">
        <f t="shared" si="227"/>
        <v>-3212023.1829114445</v>
      </c>
      <c r="AO333" s="12"/>
      <c r="AP333" s="13">
        <f t="shared" si="219"/>
        <v>2043</v>
      </c>
      <c r="AQ333" s="78">
        <f ca="1">($R36-$H36+$R71-$H71)*Zalozenia!$C$45</f>
        <v>2623479.0517173591</v>
      </c>
      <c r="AR333" s="78">
        <f t="shared" si="220"/>
        <v>-20134505.768726591</v>
      </c>
      <c r="AS333" s="78">
        <f t="shared" si="221"/>
        <v>-22757984.820443951</v>
      </c>
      <c r="AT333" s="78">
        <f t="shared" si="222"/>
        <v>0.24294632108865097</v>
      </c>
      <c r="AU333" s="79">
        <f t="shared" si="228"/>
        <v>-5528968.6875182204</v>
      </c>
    </row>
    <row r="334" spans="1:47" s="4" customFormat="1" ht="10.5">
      <c r="A334" s="43"/>
      <c r="B334" s="13">
        <f t="shared" si="199"/>
        <v>2044</v>
      </c>
      <c r="C334" s="78">
        <f ca="1">($M37-$C37+$M72-$C72)*Zalozenia!$C$45</f>
        <v>28742680.248996612</v>
      </c>
      <c r="D334" s="78">
        <f t="shared" si="200"/>
        <v>-1005397.02463456</v>
      </c>
      <c r="E334" s="78">
        <f t="shared" si="201"/>
        <v>-29748077.27363117</v>
      </c>
      <c r="F334" s="78">
        <f t="shared" si="202"/>
        <v>0.23137744865585813</v>
      </c>
      <c r="G334" s="79">
        <f t="shared" si="223"/>
        <v>-6883034.2219900964</v>
      </c>
      <c r="I334" s="43"/>
      <c r="J334" s="13">
        <f t="shared" si="203"/>
        <v>2044</v>
      </c>
      <c r="K334" s="78">
        <f ca="1">($N37-$D37+$N72-$D72)*Zalozenia!$C$45</f>
        <v>26076661.338302508</v>
      </c>
      <c r="L334" s="78">
        <f t="shared" si="204"/>
        <v>-3089050.8466722756</v>
      </c>
      <c r="M334" s="78">
        <f t="shared" si="205"/>
        <v>-29165712.184974782</v>
      </c>
      <c r="N334" s="78">
        <f t="shared" si="206"/>
        <v>0.23137744865585813</v>
      </c>
      <c r="O334" s="79">
        <f t="shared" si="224"/>
        <v>-6748288.0735905385</v>
      </c>
      <c r="Q334" s="43"/>
      <c r="R334" s="13">
        <f t="shared" si="207"/>
        <v>2044</v>
      </c>
      <c r="S334" s="78">
        <f ca="1">($O37-$E37+$O72-$E72)*Zalozenia!$C$45</f>
        <v>23642928.070367031</v>
      </c>
      <c r="T334" s="78">
        <f t="shared" si="208"/>
        <v>-1568748.359617186</v>
      </c>
      <c r="U334" s="78">
        <f t="shared" si="209"/>
        <v>-25211676.429984216</v>
      </c>
      <c r="V334" s="78">
        <f t="shared" si="210"/>
        <v>0.23137744865585813</v>
      </c>
      <c r="W334" s="79">
        <f t="shared" si="225"/>
        <v>-5833413.3687067814</v>
      </c>
      <c r="Y334" s="43"/>
      <c r="Z334" s="13">
        <f t="shared" si="211"/>
        <v>2044</v>
      </c>
      <c r="AA334" s="78">
        <f ca="1">($P37-$F37+$P72-$F72)*Zalozenia!$C$45</f>
        <v>22334151.26946703</v>
      </c>
      <c r="AB334" s="78">
        <f t="shared" si="212"/>
        <v>-1678187.0092158034</v>
      </c>
      <c r="AC334" s="78">
        <f t="shared" si="213"/>
        <v>-24012338.278682832</v>
      </c>
      <c r="AD334" s="78">
        <f t="shared" si="214"/>
        <v>0.23137744865585813</v>
      </c>
      <c r="AE334" s="79">
        <f t="shared" si="226"/>
        <v>-5555913.5671830336</v>
      </c>
      <c r="AG334" s="43"/>
      <c r="AH334" s="13">
        <f t="shared" si="215"/>
        <v>2044</v>
      </c>
      <c r="AI334" s="78">
        <f ca="1">($Q37-$G37+$Q72-$G72)*Zalozenia!$C$45</f>
        <v>11837505.637320766</v>
      </c>
      <c r="AJ334" s="78">
        <f t="shared" si="216"/>
        <v>-1787825.1112950868</v>
      </c>
      <c r="AK334" s="78">
        <f t="shared" si="217"/>
        <v>-13625330.748615853</v>
      </c>
      <c r="AL334" s="78">
        <f t="shared" si="218"/>
        <v>0.23137744865585813</v>
      </c>
      <c r="AM334" s="79">
        <f t="shared" si="227"/>
        <v>-3152594.2657069499</v>
      </c>
      <c r="AO334" s="43"/>
      <c r="AP334" s="13">
        <f t="shared" si="219"/>
        <v>2044</v>
      </c>
      <c r="AQ334" s="78">
        <f ca="1">($R37-$H37+$R72-$H72)*Zalozenia!$C$45</f>
        <v>2688804.1630295604</v>
      </c>
      <c r="AR334" s="78">
        <f t="shared" si="220"/>
        <v>-21851958.454901639</v>
      </c>
      <c r="AS334" s="78">
        <f t="shared" si="221"/>
        <v>-24540762.617931198</v>
      </c>
      <c r="AT334" s="78">
        <f t="shared" si="222"/>
        <v>0.23137744865585813</v>
      </c>
      <c r="AU334" s="79">
        <f t="shared" si="228"/>
        <v>-5678179.0426059784</v>
      </c>
    </row>
    <row r="336" spans="1:47" s="4" customFormat="1" ht="10.5">
      <c r="C336" s="13" t="s">
        <v>186</v>
      </c>
      <c r="D336" s="13" t="s">
        <v>187</v>
      </c>
      <c r="E336" s="13" t="s">
        <v>188</v>
      </c>
      <c r="K336" s="13" t="s">
        <v>186</v>
      </c>
      <c r="L336" s="13" t="s">
        <v>187</v>
      </c>
      <c r="M336" s="13" t="s">
        <v>188</v>
      </c>
      <c r="S336" s="13" t="s">
        <v>186</v>
      </c>
      <c r="T336" s="13" t="s">
        <v>187</v>
      </c>
      <c r="U336" s="13" t="s">
        <v>188</v>
      </c>
      <c r="AA336" s="13" t="s">
        <v>186</v>
      </c>
      <c r="AB336" s="13" t="s">
        <v>187</v>
      </c>
      <c r="AC336" s="13" t="s">
        <v>188</v>
      </c>
      <c r="AI336" s="13" t="s">
        <v>186</v>
      </c>
      <c r="AJ336" s="13" t="s">
        <v>187</v>
      </c>
      <c r="AK336" s="13" t="s">
        <v>188</v>
      </c>
      <c r="AQ336" s="13" t="s">
        <v>186</v>
      </c>
      <c r="AR336" s="13" t="s">
        <v>187</v>
      </c>
      <c r="AS336" s="13" t="s">
        <v>188</v>
      </c>
    </row>
    <row r="337" spans="3:45" s="4" customFormat="1" ht="10.5">
      <c r="C337" s="78">
        <f>SUM(G305:G334)</f>
        <v>-220144528.3637259</v>
      </c>
      <c r="D337" s="81" t="e">
        <f>IRR(E305:E334)</f>
        <v>#DIV/0!</v>
      </c>
      <c r="E337" s="78">
        <f>NPV(5%,D305:D334)/NPV(5%,C305:C334)</f>
        <v>-2.6574603420116798E-2</v>
      </c>
      <c r="K337" s="78">
        <f>SUM(O305:O334)</f>
        <v>-286776410.79840654</v>
      </c>
      <c r="L337" s="81" t="e">
        <f>IRR(M305:M334)</f>
        <v>#DIV/0!</v>
      </c>
      <c r="M337" s="78">
        <f>NPV(5%,L305:L334)/NPV(5%,K305:K334)</f>
        <v>-6.3129742134227854E-2</v>
      </c>
      <c r="S337" s="78">
        <f>SUM(W305:W334)</f>
        <v>-209973123.17062593</v>
      </c>
      <c r="T337" s="81" t="e">
        <f>IRR(U305:U334)</f>
        <v>#DIV/0!</v>
      </c>
      <c r="U337" s="78">
        <f>NPV(5%,T305:T334)/NPV(5%,S305:S334)</f>
        <v>-4.3370193989745245E-2</v>
      </c>
      <c r="AA337" s="78">
        <f>SUM(AE305:AE334)</f>
        <v>-177558742.43861625</v>
      </c>
      <c r="AB337" s="81" t="e">
        <f>IRR(AC305:AC334)</f>
        <v>#DIV/0!</v>
      </c>
      <c r="AC337" s="78">
        <f>NPV(5%,AB305:AB334)/NPV(5%,AA305:AA334)</f>
        <v>-5.5190746995202059E-2</v>
      </c>
      <c r="AI337" s="78">
        <f>SUM(AM305:AM334)</f>
        <v>-131647409.12109168</v>
      </c>
      <c r="AJ337" s="81" t="e">
        <f>IRR(AK305:AK334)</f>
        <v>#DIV/0!</v>
      </c>
      <c r="AK337" s="78">
        <f>NPV(5%,AJ305:AJ334)/NPV(5%,AI305:AI334)</f>
        <v>-8.2038848656286495E-2</v>
      </c>
      <c r="AQ337" s="78">
        <f>SUM(AU305:AU334)</f>
        <v>-26643894.879432682</v>
      </c>
      <c r="AR337" s="81" t="e">
        <f>IRR(AS305:AS334)</f>
        <v>#NUM!</v>
      </c>
      <c r="AS337" s="78">
        <f>NPV(5%,AR305:AR334)/NPV(5%,AQ305:AQ334)</f>
        <v>-7.1551946488412073</v>
      </c>
    </row>
    <row r="340" spans="3:45">
      <c r="C340" s="117"/>
      <c r="K340" s="117"/>
      <c r="S340" s="117"/>
      <c r="AA340" s="117"/>
      <c r="AI340" s="117"/>
    </row>
  </sheetData>
  <mergeCells count="156">
    <mergeCell ref="AO113:AP113"/>
    <mergeCell ref="AT148:BA148"/>
    <mergeCell ref="AT149:AU149"/>
    <mergeCell ref="AT150:AU150"/>
    <mergeCell ref="AK148:AR148"/>
    <mergeCell ref="AK149:AL149"/>
    <mergeCell ref="AK150:AL150"/>
    <mergeCell ref="AG113:AH113"/>
    <mergeCell ref="Y111:AE111"/>
    <mergeCell ref="Y112:Z112"/>
    <mergeCell ref="Y113:Z113"/>
    <mergeCell ref="U75:V75"/>
    <mergeCell ref="U76:V76"/>
    <mergeCell ref="AG111:AM111"/>
    <mergeCell ref="AG112:AH112"/>
    <mergeCell ref="AE75:AF75"/>
    <mergeCell ref="AE76:AF76"/>
    <mergeCell ref="AE74:AM74"/>
    <mergeCell ref="AO111:AU111"/>
    <mergeCell ref="AO112:AP112"/>
    <mergeCell ref="A74:I74"/>
    <mergeCell ref="K74:S74"/>
    <mergeCell ref="K76:L76"/>
    <mergeCell ref="Q111:W111"/>
    <mergeCell ref="A148:H148"/>
    <mergeCell ref="J148:Q148"/>
    <mergeCell ref="A149:B149"/>
    <mergeCell ref="J149:K149"/>
    <mergeCell ref="Q112:R112"/>
    <mergeCell ref="U74:AC74"/>
    <mergeCell ref="A150:B150"/>
    <mergeCell ref="J150:K150"/>
    <mergeCell ref="Q113:R113"/>
    <mergeCell ref="A5:B5"/>
    <mergeCell ref="K5:L5"/>
    <mergeCell ref="A6:B6"/>
    <mergeCell ref="K6:L6"/>
    <mergeCell ref="A113:B113"/>
    <mergeCell ref="I113:J113"/>
    <mergeCell ref="A40:B40"/>
    <mergeCell ref="K75:L75"/>
    <mergeCell ref="A76:B76"/>
    <mergeCell ref="K40:L40"/>
    <mergeCell ref="A41:B41"/>
    <mergeCell ref="K41:L41"/>
    <mergeCell ref="A111:G111"/>
    <mergeCell ref="I111:O111"/>
    <mergeCell ref="AG224:AH224"/>
    <mergeCell ref="Q186:R186"/>
    <mergeCell ref="Q187:R187"/>
    <mergeCell ref="Q223:R223"/>
    <mergeCell ref="Q224:R224"/>
    <mergeCell ref="Y222:AE222"/>
    <mergeCell ref="Y223:Z223"/>
    <mergeCell ref="Y224:Z224"/>
    <mergeCell ref="A222:G222"/>
    <mergeCell ref="I222:O222"/>
    <mergeCell ref="A185:G185"/>
    <mergeCell ref="I185:O185"/>
    <mergeCell ref="AG222:AM222"/>
    <mergeCell ref="AG223:AH223"/>
    <mergeCell ref="A223:B223"/>
    <mergeCell ref="I223:J223"/>
    <mergeCell ref="A224:B224"/>
    <mergeCell ref="I224:J224"/>
    <mergeCell ref="Y185:AE185"/>
    <mergeCell ref="Q222:W222"/>
    <mergeCell ref="A186:B186"/>
    <mergeCell ref="I186:J186"/>
    <mergeCell ref="A187:B187"/>
    <mergeCell ref="I187:J187"/>
    <mergeCell ref="AG302:AH302"/>
    <mergeCell ref="AG303:AH303"/>
    <mergeCell ref="AE297:AF297"/>
    <mergeCell ref="AO297:AP297"/>
    <mergeCell ref="AG301:AM301"/>
    <mergeCell ref="AO301:AU301"/>
    <mergeCell ref="AO302:AP302"/>
    <mergeCell ref="AO303:AP303"/>
    <mergeCell ref="Y302:Z302"/>
    <mergeCell ref="Y303:Z303"/>
    <mergeCell ref="K296:L296"/>
    <mergeCell ref="K297:L297"/>
    <mergeCell ref="U297:V297"/>
    <mergeCell ref="A303:B303"/>
    <mergeCell ref="I303:J303"/>
    <mergeCell ref="Q302:R302"/>
    <mergeCell ref="Q303:R303"/>
    <mergeCell ref="A294:B294"/>
    <mergeCell ref="A259:I259"/>
    <mergeCell ref="U261:V261"/>
    <mergeCell ref="U294:V294"/>
    <mergeCell ref="U295:V295"/>
    <mergeCell ref="U296:V296"/>
    <mergeCell ref="K259:S259"/>
    <mergeCell ref="K260:L260"/>
    <mergeCell ref="K261:L261"/>
    <mergeCell ref="K294:L294"/>
    <mergeCell ref="AE261:AF261"/>
    <mergeCell ref="AE294:AF294"/>
    <mergeCell ref="K295:L295"/>
    <mergeCell ref="A302:B302"/>
    <mergeCell ref="I302:J302"/>
    <mergeCell ref="AE259:AM259"/>
    <mergeCell ref="A296:B296"/>
    <mergeCell ref="A297:B297"/>
    <mergeCell ref="A260:B260"/>
    <mergeCell ref="A261:B261"/>
    <mergeCell ref="K4:S4"/>
    <mergeCell ref="A4:I4"/>
    <mergeCell ref="A39:I39"/>
    <mergeCell ref="K39:S39"/>
    <mergeCell ref="Y186:Z186"/>
    <mergeCell ref="Y187:Z187"/>
    <mergeCell ref="S148:Z148"/>
    <mergeCell ref="A112:B112"/>
    <mergeCell ref="I112:J112"/>
    <mergeCell ref="A75:B75"/>
    <mergeCell ref="AB148:AI148"/>
    <mergeCell ref="AB149:AC149"/>
    <mergeCell ref="AB150:AC150"/>
    <mergeCell ref="A301:G301"/>
    <mergeCell ref="I301:O301"/>
    <mergeCell ref="Q301:W301"/>
    <mergeCell ref="Y301:AE301"/>
    <mergeCell ref="U259:AC259"/>
    <mergeCell ref="U260:V260"/>
    <mergeCell ref="A295:B295"/>
    <mergeCell ref="AY297:AZ297"/>
    <mergeCell ref="AG185:AM185"/>
    <mergeCell ref="AG186:AH186"/>
    <mergeCell ref="AG187:AH187"/>
    <mergeCell ref="Q185:W185"/>
    <mergeCell ref="S149:T149"/>
    <mergeCell ref="S150:T150"/>
    <mergeCell ref="AE260:AF260"/>
    <mergeCell ref="AE295:AF295"/>
    <mergeCell ref="AE296:AF296"/>
    <mergeCell ref="AO223:AP223"/>
    <mergeCell ref="AO224:AP224"/>
    <mergeCell ref="AY259:BG259"/>
    <mergeCell ref="AY260:AZ260"/>
    <mergeCell ref="AO185:AU185"/>
    <mergeCell ref="AO186:AP186"/>
    <mergeCell ref="AO187:AP187"/>
    <mergeCell ref="AO222:AU222"/>
    <mergeCell ref="AO296:AP296"/>
    <mergeCell ref="AO261:AP261"/>
    <mergeCell ref="AO294:AP294"/>
    <mergeCell ref="AY261:AZ261"/>
    <mergeCell ref="AO259:AW259"/>
    <mergeCell ref="AO260:AP260"/>
    <mergeCell ref="AO295:AP295"/>
    <mergeCell ref="AY294:AZ294"/>
    <mergeCell ref="AY295:AZ295"/>
    <mergeCell ref="AY296:AZ296"/>
  </mergeCells>
  <phoneticPr fontId="9" type="noConversion"/>
  <conditionalFormatting sqref="C297:F297">
    <cfRule type="dataBar" priority="10">
      <dataBar>
        <cfvo type="min" val="0"/>
        <cfvo type="max" val="0"/>
        <color rgb="FF008AEF"/>
      </dataBar>
    </cfRule>
  </conditionalFormatting>
  <conditionalFormatting sqref="M297:P297">
    <cfRule type="dataBar" priority="6">
      <dataBar>
        <cfvo type="min" val="0"/>
        <cfvo type="max" val="0"/>
        <color rgb="FF008AEF"/>
      </dataBar>
    </cfRule>
  </conditionalFormatting>
  <conditionalFormatting sqref="W297:Z297">
    <cfRule type="dataBar" priority="5">
      <dataBar>
        <cfvo type="min" val="0"/>
        <cfvo type="max" val="0"/>
        <color rgb="FF008AEF"/>
      </dataBar>
    </cfRule>
  </conditionalFormatting>
  <conditionalFormatting sqref="AG297:AJ297">
    <cfRule type="dataBar" priority="4">
      <dataBar>
        <cfvo type="min" val="0"/>
        <cfvo type="max" val="0"/>
        <color rgb="FF008AEF"/>
      </dataBar>
    </cfRule>
  </conditionalFormatting>
  <conditionalFormatting sqref="AQ297:AT297">
    <cfRule type="dataBar" priority="3">
      <dataBar>
        <cfvo type="min" val="0"/>
        <cfvo type="max" val="0"/>
        <color rgb="FF008AEF"/>
      </dataBar>
    </cfRule>
  </conditionalFormatting>
  <conditionalFormatting sqref="BA297:BD297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37"/>
  <sheetViews>
    <sheetView workbookViewId="0">
      <selection activeCell="H18" sqref="H18"/>
    </sheetView>
  </sheetViews>
  <sheetFormatPr defaultRowHeight="12.75"/>
  <cols>
    <col min="3" max="8" width="10.140625" customWidth="1"/>
    <col min="12" max="17" width="11.7109375" customWidth="1"/>
  </cols>
  <sheetData>
    <row r="2" spans="1:35" s="56" customFormat="1">
      <c r="A2" s="57" t="s">
        <v>201</v>
      </c>
    </row>
    <row r="4" spans="1:35">
      <c r="A4" s="175" t="s">
        <v>202</v>
      </c>
      <c r="B4" s="176"/>
      <c r="C4" s="176"/>
      <c r="D4" s="176"/>
      <c r="E4" s="176"/>
      <c r="F4" s="176"/>
      <c r="G4" s="176"/>
      <c r="H4" s="178"/>
      <c r="J4" s="175" t="s">
        <v>203</v>
      </c>
      <c r="K4" s="176"/>
      <c r="L4" s="176"/>
      <c r="M4" s="176"/>
      <c r="N4" s="176"/>
      <c r="O4" s="176"/>
      <c r="P4" s="176"/>
      <c r="Q4" s="178"/>
      <c r="S4" s="175" t="s">
        <v>210</v>
      </c>
      <c r="T4" s="176"/>
      <c r="U4" s="176"/>
      <c r="V4" s="176"/>
      <c r="W4" s="176"/>
      <c r="X4" s="176"/>
      <c r="Y4" s="176"/>
      <c r="Z4" s="178"/>
      <c r="AB4" s="175" t="s">
        <v>211</v>
      </c>
      <c r="AC4" s="176"/>
      <c r="AD4" s="176"/>
      <c r="AE4" s="176"/>
      <c r="AF4" s="176"/>
      <c r="AG4" s="176"/>
      <c r="AH4" s="176"/>
      <c r="AI4" s="178"/>
    </row>
    <row r="5" spans="1:35">
      <c r="A5" s="134" t="s">
        <v>5</v>
      </c>
      <c r="B5" s="134"/>
      <c r="C5" s="6">
        <v>1</v>
      </c>
      <c r="D5" s="6">
        <v>2</v>
      </c>
      <c r="E5" s="6">
        <v>3</v>
      </c>
      <c r="F5" s="6"/>
      <c r="G5" s="6"/>
      <c r="H5" s="6"/>
      <c r="J5" s="134" t="s">
        <v>5</v>
      </c>
      <c r="K5" s="134"/>
      <c r="L5" s="6">
        <v>1</v>
      </c>
      <c r="M5" s="6">
        <v>2</v>
      </c>
      <c r="N5" s="6">
        <v>3</v>
      </c>
      <c r="O5" s="6"/>
      <c r="P5" s="6"/>
      <c r="Q5" s="6"/>
      <c r="S5" s="134" t="s">
        <v>5</v>
      </c>
      <c r="T5" s="134"/>
      <c r="U5" s="6">
        <v>1</v>
      </c>
      <c r="V5" s="6">
        <v>2</v>
      </c>
      <c r="W5" s="6">
        <v>3</v>
      </c>
      <c r="X5" s="6"/>
      <c r="Y5" s="6"/>
      <c r="Z5" s="6"/>
      <c r="AB5" s="134" t="s">
        <v>5</v>
      </c>
      <c r="AC5" s="134"/>
      <c r="AD5" s="6">
        <v>1</v>
      </c>
      <c r="AE5" s="6">
        <v>2</v>
      </c>
      <c r="AF5" s="6">
        <v>3</v>
      </c>
      <c r="AG5" s="6"/>
      <c r="AH5" s="6"/>
      <c r="AI5" s="6"/>
    </row>
    <row r="6" spans="1:35">
      <c r="A6" s="134" t="s">
        <v>6</v>
      </c>
      <c r="B6" s="134"/>
      <c r="C6" s="35" t="s">
        <v>204</v>
      </c>
      <c r="D6" s="35" t="s">
        <v>205</v>
      </c>
      <c r="E6" s="35" t="s">
        <v>206</v>
      </c>
      <c r="F6" s="35" t="s">
        <v>207</v>
      </c>
      <c r="G6" s="35" t="s">
        <v>208</v>
      </c>
      <c r="H6" s="35" t="s">
        <v>209</v>
      </c>
      <c r="J6" s="134" t="s">
        <v>6</v>
      </c>
      <c r="K6" s="134"/>
      <c r="L6" s="35" t="s">
        <v>204</v>
      </c>
      <c r="M6" s="35" t="s">
        <v>205</v>
      </c>
      <c r="N6" s="35" t="s">
        <v>206</v>
      </c>
      <c r="O6" s="35" t="s">
        <v>207</v>
      </c>
      <c r="P6" s="35" t="s">
        <v>208</v>
      </c>
      <c r="Q6" s="35" t="s">
        <v>209</v>
      </c>
      <c r="S6" s="134" t="s">
        <v>6</v>
      </c>
      <c r="T6" s="134"/>
      <c r="U6" s="35" t="s">
        <v>204</v>
      </c>
      <c r="V6" s="35" t="s">
        <v>205</v>
      </c>
      <c r="W6" s="35" t="s">
        <v>206</v>
      </c>
      <c r="X6" s="35" t="s">
        <v>207</v>
      </c>
      <c r="Y6" s="35" t="s">
        <v>208</v>
      </c>
      <c r="Z6" s="35" t="s">
        <v>209</v>
      </c>
      <c r="AB6" s="134" t="s">
        <v>6</v>
      </c>
      <c r="AC6" s="134"/>
      <c r="AD6" s="35" t="s">
        <v>204</v>
      </c>
      <c r="AE6" s="35" t="s">
        <v>205</v>
      </c>
      <c r="AF6" s="35" t="s">
        <v>206</v>
      </c>
      <c r="AG6" s="35" t="s">
        <v>207</v>
      </c>
      <c r="AH6" s="35" t="s">
        <v>208</v>
      </c>
      <c r="AI6" s="35" t="s">
        <v>209</v>
      </c>
    </row>
    <row r="7" spans="1:35" ht="21">
      <c r="A7" s="8"/>
      <c r="B7" s="9" t="s">
        <v>22</v>
      </c>
      <c r="C7" s="36" t="s">
        <v>38</v>
      </c>
      <c r="D7" s="36" t="s">
        <v>38</v>
      </c>
      <c r="E7" s="36" t="s">
        <v>38</v>
      </c>
      <c r="F7" s="36" t="s">
        <v>38</v>
      </c>
      <c r="G7" s="36" t="s">
        <v>38</v>
      </c>
      <c r="H7" s="36" t="s">
        <v>38</v>
      </c>
      <c r="J7" s="8"/>
      <c r="K7" s="9" t="s">
        <v>22</v>
      </c>
      <c r="L7" s="36" t="s">
        <v>28</v>
      </c>
      <c r="M7" s="36" t="s">
        <v>28</v>
      </c>
      <c r="N7" s="36" t="s">
        <v>28</v>
      </c>
      <c r="O7" s="36" t="s">
        <v>28</v>
      </c>
      <c r="P7" s="36" t="s">
        <v>28</v>
      </c>
      <c r="Q7" s="36" t="s">
        <v>28</v>
      </c>
      <c r="S7" s="8"/>
      <c r="T7" s="9" t="s">
        <v>22</v>
      </c>
      <c r="U7" s="36" t="s">
        <v>88</v>
      </c>
      <c r="V7" s="36" t="s">
        <v>88</v>
      </c>
      <c r="W7" s="36" t="s">
        <v>88</v>
      </c>
      <c r="X7" s="36" t="s">
        <v>88</v>
      </c>
      <c r="Y7" s="36" t="s">
        <v>88</v>
      </c>
      <c r="Z7" s="36" t="s">
        <v>88</v>
      </c>
      <c r="AB7" s="8"/>
      <c r="AC7" s="9" t="s">
        <v>22</v>
      </c>
      <c r="AD7" s="36" t="s">
        <v>88</v>
      </c>
      <c r="AE7" s="36" t="s">
        <v>88</v>
      </c>
      <c r="AF7" s="36" t="s">
        <v>88</v>
      </c>
      <c r="AG7" s="36" t="s">
        <v>88</v>
      </c>
      <c r="AH7" s="36" t="s">
        <v>88</v>
      </c>
      <c r="AI7" s="36" t="s">
        <v>88</v>
      </c>
    </row>
    <row r="8" spans="1:35">
      <c r="A8" s="12"/>
      <c r="B8" s="13">
        <f ca="1">Obliczenia!L8</f>
        <v>2015</v>
      </c>
      <c r="C8" s="37">
        <f ca="1">Wyliczenia.jednostkowe!V39</f>
        <v>26.849714417778003</v>
      </c>
      <c r="D8" s="37">
        <f ca="1">Wyliczenia.jednostkowe!W39</f>
        <v>27.582328641795002</v>
      </c>
      <c r="E8" s="37">
        <f ca="1">Wyliczenia.jednostkowe!X39</f>
        <v>29.535266328242322</v>
      </c>
      <c r="F8" s="37">
        <f ca="1">Wyliczenia.jednostkowe!Y39</f>
        <v>28.930890034431741</v>
      </c>
      <c r="G8" s="37">
        <f ca="1">Wyliczenia.jednostkowe!Z39</f>
        <v>26.288452685692576</v>
      </c>
      <c r="H8" s="37"/>
      <c r="J8" s="12"/>
      <c r="K8" s="13">
        <f>B8</f>
        <v>2015</v>
      </c>
      <c r="L8" s="37">
        <f ca="1">Obliczenia!G263</f>
        <v>-130700.13790378158</v>
      </c>
      <c r="M8" s="37">
        <f ca="1">Obliczenia!Q263</f>
        <v>-351453.92333425727</v>
      </c>
      <c r="N8" s="37">
        <f ca="1">Obliczenia!AA263</f>
        <v>-191131.67504483103</v>
      </c>
      <c r="O8" s="37">
        <f ca="1">Obliczenia!AK263</f>
        <v>-194994.52403312884</v>
      </c>
      <c r="P8" s="37">
        <f ca="1">Obliczenia!AU263</f>
        <v>-255104.24650087804</v>
      </c>
      <c r="Q8" s="37" t="e">
        <f ca="1">Obliczenia!#REF!</f>
        <v>#REF!</v>
      </c>
      <c r="S8" s="12"/>
      <c r="T8" s="13">
        <f>K8</f>
        <v>2015</v>
      </c>
      <c r="U8" s="37">
        <f ca="1">Zalozenia!C388-Zalozenia!C281</f>
        <v>44363.340000000084</v>
      </c>
      <c r="V8" s="37">
        <f ca="1">Zalozenia!D388-Zalozenia!D281</f>
        <v>154739.70000000019</v>
      </c>
      <c r="W8" s="37">
        <f ca="1">Zalozenia!E388-Zalozenia!E281</f>
        <v>100353.35999999987</v>
      </c>
      <c r="X8" s="37">
        <f ca="1">Zalozenia!F388-Zalozenia!F281</f>
        <v>101941.61999999988</v>
      </c>
      <c r="Y8" s="37">
        <f ca="1">Zalozenia!G388-Zalozenia!G281</f>
        <v>100569.23999999999</v>
      </c>
      <c r="Z8" s="37" t="e">
        <f ca="1">Zalozenia!#REF!-Zalozenia!#REF!</f>
        <v>#REF!</v>
      </c>
      <c r="AB8" s="12"/>
      <c r="AC8" s="13">
        <f>T8</f>
        <v>2015</v>
      </c>
      <c r="AD8" s="37">
        <f t="shared" ref="AD8:AI8" si="0">L8/U8</f>
        <v>-2.9461293469739052</v>
      </c>
      <c r="AE8" s="37">
        <f t="shared" si="0"/>
        <v>-2.2712589163237156</v>
      </c>
      <c r="AF8" s="37">
        <f t="shared" si="0"/>
        <v>-1.9045867028750336</v>
      </c>
      <c r="AG8" s="37">
        <f t="shared" si="0"/>
        <v>-1.912805819969597</v>
      </c>
      <c r="AH8" s="37">
        <f t="shared" si="0"/>
        <v>-2.5366031054910834</v>
      </c>
      <c r="AI8" s="37" t="e">
        <f t="shared" si="0"/>
        <v>#REF!</v>
      </c>
    </row>
    <row r="9" spans="1:35">
      <c r="A9" s="12"/>
      <c r="B9" s="13">
        <f ca="1">Obliczenia!L9</f>
        <v>2016</v>
      </c>
      <c r="C9" s="37">
        <f ca="1">Wyliczenia.jednostkowe!V40</f>
        <v>27.865571298504037</v>
      </c>
      <c r="D9" s="37">
        <f ca="1">Wyliczenia.jednostkowe!W40</f>
        <v>28.595209012651164</v>
      </c>
      <c r="E9" s="37">
        <f ca="1">Wyliczenia.jednostkowe!X40</f>
        <v>30.548146699098485</v>
      </c>
      <c r="F9" s="37">
        <f ca="1">Wyliczenia.jednostkowe!Y40</f>
        <v>29.943770405287907</v>
      </c>
      <c r="G9" s="37">
        <f ca="1">Wyliczenia.jednostkowe!Z40</f>
        <v>27.301333056548735</v>
      </c>
      <c r="H9" s="37"/>
      <c r="J9" s="12"/>
      <c r="K9" s="13">
        <f t="shared" ref="K9:K37" si="1">B9</f>
        <v>2016</v>
      </c>
      <c r="L9" s="37">
        <f ca="1">Obliczenia!G264</f>
        <v>-138463.63579486139</v>
      </c>
      <c r="M9" s="37">
        <f ca="1">Obliczenia!Q264</f>
        <v>-372539.97635616473</v>
      </c>
      <c r="N9" s="37">
        <f ca="1">Obliczenia!AA264</f>
        <v>-201699.28005949745</v>
      </c>
      <c r="O9" s="37">
        <f ca="1">Obliczenia!AK264</f>
        <v>-206740.59373969503</v>
      </c>
      <c r="P9" s="37">
        <f ca="1">Obliczenia!AU264</f>
        <v>-269193.30698636273</v>
      </c>
      <c r="Q9" s="37" t="e">
        <f ca="1">Obliczenia!#REF!</f>
        <v>#REF!</v>
      </c>
      <c r="S9" s="12"/>
      <c r="T9" s="13">
        <f t="shared" ref="T9:T37" si="2">K9</f>
        <v>2016</v>
      </c>
      <c r="U9" s="37">
        <f ca="1">Zalozenia!C389-Zalozenia!C282</f>
        <v>45074.201999999932</v>
      </c>
      <c r="V9" s="37">
        <f ca="1">Zalozenia!D389-Zalozenia!D282</f>
        <v>157245.45000000019</v>
      </c>
      <c r="W9" s="37">
        <f ca="1">Zalozenia!E389-Zalozenia!E282</f>
        <v>101557.66199999978</v>
      </c>
      <c r="X9" s="37">
        <f ca="1">Zalozenia!F389-Zalozenia!F282</f>
        <v>103631.652</v>
      </c>
      <c r="Y9" s="37">
        <f ca="1">Zalozenia!G389-Zalozenia!G282</f>
        <v>101772</v>
      </c>
      <c r="Z9" s="37" t="e">
        <f ca="1">Zalozenia!#REF!-Zalozenia!#REF!</f>
        <v>#REF!</v>
      </c>
      <c r="AB9" s="12"/>
      <c r="AC9" s="13">
        <f t="shared" ref="AC9:AC37" si="3">T9</f>
        <v>2016</v>
      </c>
      <c r="AD9" s="37">
        <f t="shared" ref="AD9:AD37" si="4">L9/U9</f>
        <v>-3.0719043189020097</v>
      </c>
      <c r="AE9" s="37">
        <f t="shared" ref="AE9:AE37" si="5">M9/V9</f>
        <v>-2.3691622005988999</v>
      </c>
      <c r="AF9" s="37">
        <f t="shared" ref="AF9:AF37" si="6">N9/W9</f>
        <v>-1.9860567493125028</v>
      </c>
      <c r="AG9" s="37">
        <f t="shared" ref="AG9:AG37" si="7">O9/X9</f>
        <v>-1.9949560751930793</v>
      </c>
      <c r="AH9" s="37">
        <f t="shared" ref="AH9:AH37" si="8">P9/Y9</f>
        <v>-2.6450625612777849</v>
      </c>
      <c r="AI9" s="37" t="e">
        <f t="shared" ref="AI9:AI37" si="9">Q9/Z9</f>
        <v>#REF!</v>
      </c>
    </row>
    <row r="10" spans="1:35">
      <c r="A10" s="12"/>
      <c r="B10" s="13">
        <f ca="1">Obliczenia!L10</f>
        <v>2017</v>
      </c>
      <c r="C10" s="37">
        <f ca="1">Wyliczenia.jednostkowe!V41</f>
        <v>28.927141738862737</v>
      </c>
      <c r="D10" s="37">
        <f ca="1">Wyliczenia.jednostkowe!W41</f>
        <v>29.653669000195855</v>
      </c>
      <c r="E10" s="37">
        <f ca="1">Wyliczenia.jednostkowe!X41</f>
        <v>31.606606686643175</v>
      </c>
      <c r="F10" s="37">
        <f ca="1">Wyliczenia.jednostkowe!Y41</f>
        <v>31.002230392832594</v>
      </c>
      <c r="G10" s="37">
        <f ca="1">Wyliczenia.jednostkowe!Z41</f>
        <v>28.359793044093429</v>
      </c>
      <c r="H10" s="37"/>
      <c r="J10" s="12"/>
      <c r="K10" s="13">
        <f t="shared" si="1"/>
        <v>2017</v>
      </c>
      <c r="L10" s="37">
        <f ca="1">Obliczenia!G265</f>
        <v>-146619.29763658898</v>
      </c>
      <c r="M10" s="37">
        <f ca="1">Obliczenia!Q265</f>
        <v>-394640.74336403771</v>
      </c>
      <c r="N10" s="37">
        <f ca="1">Obliczenia!AA265</f>
        <v>-212751.16857031232</v>
      </c>
      <c r="O10" s="37">
        <f ca="1">Obliczenia!AK265</f>
        <v>-219058.65053600111</v>
      </c>
      <c r="P10" s="37">
        <f ca="1">Obliczenia!AU265</f>
        <v>-283932.90038127272</v>
      </c>
      <c r="Q10" s="37" t="e">
        <f ca="1">Obliczenia!#REF!</f>
        <v>#REF!</v>
      </c>
      <c r="S10" s="12"/>
      <c r="T10" s="13">
        <f t="shared" si="2"/>
        <v>2017</v>
      </c>
      <c r="U10" s="37">
        <f ca="1">Zalozenia!C390-Zalozenia!C283</f>
        <v>45785.064000000013</v>
      </c>
      <c r="V10" s="37">
        <f ca="1">Zalozenia!D390-Zalozenia!D283</f>
        <v>159751.20000000019</v>
      </c>
      <c r="W10" s="37">
        <f ca="1">Zalozenia!E390-Zalozenia!E283</f>
        <v>102761.96400000015</v>
      </c>
      <c r="X10" s="37">
        <f ca="1">Zalozenia!F390-Zalozenia!F283</f>
        <v>105321.68399999989</v>
      </c>
      <c r="Y10" s="37">
        <f ca="1">Zalozenia!G390-Zalozenia!G283</f>
        <v>102974.76000000001</v>
      </c>
      <c r="Z10" s="37" t="e">
        <f ca="1">Zalozenia!#REF!-Zalozenia!#REF!</f>
        <v>#REF!</v>
      </c>
      <c r="AB10" s="12"/>
      <c r="AC10" s="13">
        <f t="shared" si="3"/>
        <v>2017</v>
      </c>
      <c r="AD10" s="37">
        <f t="shared" si="4"/>
        <v>-3.2023390343320024</v>
      </c>
      <c r="AE10" s="37">
        <f t="shared" si="5"/>
        <v>-2.470346034108271</v>
      </c>
      <c r="AF10" s="37">
        <f t="shared" si="6"/>
        <v>-2.0703299186682731</v>
      </c>
      <c r="AG10" s="37">
        <f t="shared" si="7"/>
        <v>-2.0799007594295715</v>
      </c>
      <c r="AH10" s="37">
        <f t="shared" si="8"/>
        <v>-2.7573057745536156</v>
      </c>
      <c r="AI10" s="37" t="e">
        <f t="shared" si="9"/>
        <v>#REF!</v>
      </c>
    </row>
    <row r="11" spans="1:35">
      <c r="A11" s="12"/>
      <c r="B11" s="13">
        <f ca="1">Obliczenia!L11</f>
        <v>2018</v>
      </c>
      <c r="C11" s="37">
        <f ca="1">Wyliczenia.jednostkowe!V42</f>
        <v>30.036482849037583</v>
      </c>
      <c r="D11" s="37">
        <f ca="1">Wyliczenia.jednostkowe!W42</f>
        <v>30.759759687180058</v>
      </c>
      <c r="E11" s="37">
        <f ca="1">Wyliczenia.jednostkowe!X42</f>
        <v>32.712697373627378</v>
      </c>
      <c r="F11" s="37">
        <f ca="1">Wyliczenia.jednostkowe!Y42</f>
        <v>32.108321079816797</v>
      </c>
      <c r="G11" s="37">
        <f ca="1">Wyliczenia.jednostkowe!Z42</f>
        <v>29.465883731077632</v>
      </c>
      <c r="H11" s="37"/>
      <c r="J11" s="12"/>
      <c r="K11" s="13">
        <f t="shared" si="1"/>
        <v>2018</v>
      </c>
      <c r="L11" s="37">
        <f ca="1">Obliczenia!G266</f>
        <v>-154605.88318820181</v>
      </c>
      <c r="M11" s="37">
        <f ca="1">Obliczenia!Q266</f>
        <v>-416004.50238079356</v>
      </c>
      <c r="N11" s="37">
        <f ca="1">Obliczenia!AA266</f>
        <v>-223333.30388833073</v>
      </c>
      <c r="O11" s="37">
        <f ca="1">Obliczenia!AK266</f>
        <v>-230976.23556039971</v>
      </c>
      <c r="P11" s="37">
        <f ca="1">Obliczenia!AU266</f>
        <v>-298082.89621475682</v>
      </c>
      <c r="Q11" s="37" t="e">
        <f ca="1">Obliczenia!#REF!</f>
        <v>#REF!</v>
      </c>
      <c r="S11" s="12"/>
      <c r="T11" s="13">
        <f t="shared" si="2"/>
        <v>2018</v>
      </c>
      <c r="U11" s="37">
        <f ca="1">Zalozenia!C391-Zalozenia!C284</f>
        <v>46495.925999999978</v>
      </c>
      <c r="V11" s="37">
        <f ca="1">Zalozenia!D391-Zalozenia!D284</f>
        <v>162256.95000000019</v>
      </c>
      <c r="W11" s="37">
        <f ca="1">Zalozenia!E391-Zalozenia!E284</f>
        <v>103966.26600000006</v>
      </c>
      <c r="X11" s="37">
        <f ca="1">Zalozenia!F391-Zalozenia!F284</f>
        <v>107011.71600000001</v>
      </c>
      <c r="Y11" s="37">
        <f ca="1">Zalozenia!G391-Zalozenia!G284</f>
        <v>104177.52000000002</v>
      </c>
      <c r="Z11" s="37" t="e">
        <f ca="1">Zalozenia!#REF!-Zalozenia!#REF!</f>
        <v>#REF!</v>
      </c>
      <c r="AB11" s="12"/>
      <c r="AC11" s="13">
        <f t="shared" si="3"/>
        <v>2018</v>
      </c>
      <c r="AD11" s="37">
        <f t="shared" si="4"/>
        <v>-3.325149028932167</v>
      </c>
      <c r="AE11" s="37">
        <f t="shared" si="5"/>
        <v>-2.5638624563126147</v>
      </c>
      <c r="AF11" s="37">
        <f t="shared" si="6"/>
        <v>-2.1481323941010886</v>
      </c>
      <c r="AG11" s="37">
        <f t="shared" si="7"/>
        <v>-2.1584200701949277</v>
      </c>
      <c r="AH11" s="37">
        <f t="shared" si="8"/>
        <v>-2.8612976793338598</v>
      </c>
      <c r="AI11" s="37" t="e">
        <f t="shared" si="9"/>
        <v>#REF!</v>
      </c>
    </row>
    <row r="12" spans="1:35">
      <c r="A12" s="12"/>
      <c r="B12" s="13">
        <f ca="1">Obliczenia!L12</f>
        <v>2019</v>
      </c>
      <c r="C12" s="37">
        <f ca="1">Wyliczenia.jednostkowe!V43</f>
        <v>31.195744309170294</v>
      </c>
      <c r="D12" s="37">
        <f ca="1">Wyliczenia.jednostkowe!W43</f>
        <v>31.91562445507855</v>
      </c>
      <c r="E12" s="37">
        <f ca="1">Wyliczenia.jednostkowe!X43</f>
        <v>33.868562141525871</v>
      </c>
      <c r="F12" s="37">
        <f ca="1">Wyliczenia.jednostkowe!Y43</f>
        <v>33.264185847715289</v>
      </c>
      <c r="G12" s="37">
        <f ca="1">Wyliczenia.jednostkowe!Z43</f>
        <v>30.621748498976125</v>
      </c>
      <c r="H12" s="37"/>
      <c r="J12" s="12"/>
      <c r="K12" s="13">
        <f t="shared" si="1"/>
        <v>2019</v>
      </c>
      <c r="L12" s="37">
        <f ca="1">Obliczenia!G267</f>
        <v>-162963.23215448429</v>
      </c>
      <c r="M12" s="37">
        <f ca="1">Obliczenia!Q267</f>
        <v>-438301.81302088127</v>
      </c>
      <c r="N12" s="37">
        <f ca="1">Obliczenia!AA267</f>
        <v>-234354.36854888019</v>
      </c>
      <c r="O12" s="37">
        <f ca="1">Obliczenia!AK267</f>
        <v>-243419.90921465115</v>
      </c>
      <c r="P12" s="37">
        <f ca="1">Obliczenia!AU267</f>
        <v>-312826.14342193992</v>
      </c>
      <c r="Q12" s="37" t="e">
        <f ca="1">Obliczenia!#REF!</f>
        <v>#REF!</v>
      </c>
      <c r="S12" s="12"/>
      <c r="T12" s="13">
        <f t="shared" si="2"/>
        <v>2019</v>
      </c>
      <c r="U12" s="37">
        <f ca="1">Zalozenia!C392-Zalozenia!C285</f>
        <v>47206.787999999942</v>
      </c>
      <c r="V12" s="37">
        <f ca="1">Zalozenia!D392-Zalozenia!D285</f>
        <v>164762.70000000019</v>
      </c>
      <c r="W12" s="37">
        <f ca="1">Zalozenia!E392-Zalozenia!E285</f>
        <v>105170.56799999997</v>
      </c>
      <c r="X12" s="37">
        <f ca="1">Zalozenia!F392-Zalozenia!F285</f>
        <v>108701.74800000014</v>
      </c>
      <c r="Y12" s="37">
        <f ca="1">Zalozenia!G392-Zalozenia!G285</f>
        <v>105380.28000000003</v>
      </c>
      <c r="Z12" s="37" t="e">
        <f ca="1">Zalozenia!#REF!-Zalozenia!#REF!</f>
        <v>#REF!</v>
      </c>
      <c r="AB12" s="12"/>
      <c r="AC12" s="13">
        <f t="shared" si="3"/>
        <v>2019</v>
      </c>
      <c r="AD12" s="37">
        <f t="shared" si="4"/>
        <v>-3.4521143898730089</v>
      </c>
      <c r="AE12" s="37">
        <f t="shared" si="5"/>
        <v>-2.6602004763267462</v>
      </c>
      <c r="AF12" s="37">
        <f t="shared" si="6"/>
        <v>-2.2283265461576689</v>
      </c>
      <c r="AG12" s="37">
        <f t="shared" si="7"/>
        <v>-2.2393375791404093</v>
      </c>
      <c r="AH12" s="37">
        <f t="shared" si="8"/>
        <v>-2.9685453808050219</v>
      </c>
      <c r="AI12" s="37" t="e">
        <f t="shared" si="9"/>
        <v>#REF!</v>
      </c>
    </row>
    <row r="13" spans="1:35">
      <c r="A13" s="12"/>
      <c r="B13" s="13">
        <f ca="1">Obliczenia!L13</f>
        <v>2020</v>
      </c>
      <c r="C13" s="37">
        <f ca="1">Wyliczenia.jednostkowe!V44</f>
        <v>32.407172535008982</v>
      </c>
      <c r="D13" s="37">
        <f ca="1">Wyliczenia.jednostkowe!W44</f>
        <v>33.123503137532474</v>
      </c>
      <c r="E13" s="37">
        <f ca="1">Wyliczenia.jednostkowe!X44</f>
        <v>35.076440823979794</v>
      </c>
      <c r="F13" s="37">
        <f ca="1">Wyliczenia.jednostkowe!Y44</f>
        <v>34.472064530169213</v>
      </c>
      <c r="G13" s="37">
        <f ca="1">Wyliczenia.jednostkowe!Z44</f>
        <v>31.829627181430048</v>
      </c>
      <c r="H13" s="37"/>
      <c r="J13" s="12"/>
      <c r="K13" s="13">
        <f t="shared" si="1"/>
        <v>2020</v>
      </c>
      <c r="L13" s="37">
        <f ca="1">Obliczenia!G268</f>
        <v>-174652.14342397149</v>
      </c>
      <c r="M13" s="37">
        <f ca="1">Obliczenia!Q268</f>
        <v>-472066.81687840371</v>
      </c>
      <c r="N13" s="37">
        <f ca="1">Obliczenia!AA268</f>
        <v>-251500.29989796475</v>
      </c>
      <c r="O13" s="37">
        <f ca="1">Obliczenia!AK268</f>
        <v>-262229.95458027476</v>
      </c>
      <c r="P13" s="37">
        <f ca="1">Obliczenia!AU268</f>
        <v>-335407.47040404199</v>
      </c>
      <c r="Q13" s="37" t="e">
        <f ca="1">Obliczenia!#REF!</f>
        <v>#REF!</v>
      </c>
      <c r="S13" s="12"/>
      <c r="T13" s="13">
        <f t="shared" si="2"/>
        <v>2020</v>
      </c>
      <c r="U13" s="37">
        <f ca="1">Zalozenia!C393-Zalozenia!C286</f>
        <v>47917.650000000023</v>
      </c>
      <c r="V13" s="37">
        <f ca="1">Zalozenia!D393-Zalozenia!D286</f>
        <v>167268.45000000019</v>
      </c>
      <c r="W13" s="37">
        <f ca="1">Zalozenia!E393-Zalozenia!E286</f>
        <v>106374.86999999988</v>
      </c>
      <c r="X13" s="37">
        <f ca="1">Zalozenia!F393-Zalozenia!F286</f>
        <v>110391.78000000003</v>
      </c>
      <c r="Y13" s="37">
        <f ca="1">Zalozenia!G393-Zalozenia!G286</f>
        <v>106583.04000000004</v>
      </c>
      <c r="Z13" s="37" t="e">
        <f ca="1">Zalozenia!#REF!-Zalozenia!#REF!</f>
        <v>#REF!</v>
      </c>
      <c r="AB13" s="12"/>
      <c r="AC13" s="13">
        <f t="shared" si="3"/>
        <v>2020</v>
      </c>
      <c r="AD13" s="37">
        <f t="shared" si="4"/>
        <v>-3.6448394990983783</v>
      </c>
      <c r="AE13" s="37">
        <f t="shared" si="5"/>
        <v>-2.8222107449336868</v>
      </c>
      <c r="AF13" s="37">
        <f t="shared" si="6"/>
        <v>-2.3642830294219399</v>
      </c>
      <c r="AG13" s="37">
        <f t="shared" si="7"/>
        <v>-2.3754481953300752</v>
      </c>
      <c r="AH13" s="37">
        <f t="shared" si="8"/>
        <v>-3.1469122142138364</v>
      </c>
      <c r="AI13" s="37" t="e">
        <f t="shared" si="9"/>
        <v>#REF!</v>
      </c>
    </row>
    <row r="14" spans="1:35">
      <c r="A14" s="12"/>
      <c r="B14" s="13">
        <f ca="1">Obliczenia!L14</f>
        <v>2021</v>
      </c>
      <c r="C14" s="37">
        <f ca="1">Wyliczenia.jednostkowe!V45</f>
        <v>33.110473921676437</v>
      </c>
      <c r="D14" s="37">
        <f ca="1">Wyliczenia.jednostkowe!W45</f>
        <v>33.824743817068224</v>
      </c>
      <c r="E14" s="37">
        <f ca="1">Wyliczenia.jednostkowe!X45</f>
        <v>35.777681503515545</v>
      </c>
      <c r="F14" s="37">
        <f ca="1">Wyliczenia.jednostkowe!Y45</f>
        <v>35.173305209704964</v>
      </c>
      <c r="G14" s="37">
        <f ca="1">Wyliczenia.jednostkowe!Z45</f>
        <v>32.530867860965792</v>
      </c>
      <c r="H14" s="37"/>
      <c r="J14" s="12"/>
      <c r="K14" s="13">
        <f t="shared" si="1"/>
        <v>2021</v>
      </c>
      <c r="L14" s="37">
        <f ca="1">Obliczenia!G269</f>
        <v>-187180.79059449729</v>
      </c>
      <c r="M14" s="37">
        <f ca="1">Obliczenia!Q269</f>
        <v>-508458.54959533794</v>
      </c>
      <c r="N14" s="37">
        <f ca="1">Obliczenia!AA269</f>
        <v>-269929.37011819088</v>
      </c>
      <c r="O14" s="37">
        <f ca="1">Obliczenia!AK269</f>
        <v>-282499.7372138513</v>
      </c>
      <c r="P14" s="37">
        <f ca="1">Obliczenia!AU269</f>
        <v>-359658.034867145</v>
      </c>
      <c r="Q14" s="37" t="e">
        <f ca="1">Obliczenia!#REF!</f>
        <v>#REF!</v>
      </c>
      <c r="S14" s="12"/>
      <c r="T14" s="13">
        <f t="shared" si="2"/>
        <v>2021</v>
      </c>
      <c r="U14" s="37">
        <f ca="1">Zalozenia!C394-Zalozenia!C287</f>
        <v>48628.511999999988</v>
      </c>
      <c r="V14" s="37">
        <f ca="1">Zalozenia!D394-Zalozenia!D287</f>
        <v>169774.20000000019</v>
      </c>
      <c r="W14" s="37">
        <f ca="1">Zalozenia!E394-Zalozenia!E287</f>
        <v>107579.17200000002</v>
      </c>
      <c r="X14" s="37">
        <f ca="1">Zalozenia!F394-Zalozenia!F287</f>
        <v>112081.81199999992</v>
      </c>
      <c r="Y14" s="37">
        <f ca="1">Zalozenia!G394-Zalozenia!G287</f>
        <v>107785.80000000005</v>
      </c>
      <c r="Z14" s="37" t="e">
        <f ca="1">Zalozenia!#REF!-Zalozenia!#REF!</f>
        <v>#REF!</v>
      </c>
      <c r="AB14" s="12"/>
      <c r="AC14" s="13">
        <f t="shared" si="3"/>
        <v>2021</v>
      </c>
      <c r="AD14" s="37">
        <f t="shared" si="4"/>
        <v>-3.8491984001998114</v>
      </c>
      <c r="AE14" s="37">
        <f t="shared" si="5"/>
        <v>-2.9949105906276534</v>
      </c>
      <c r="AF14" s="37">
        <f t="shared" si="6"/>
        <v>-2.509122956609025</v>
      </c>
      <c r="AG14" s="37">
        <f t="shared" si="7"/>
        <v>-2.5204779631315337</v>
      </c>
      <c r="AH14" s="37">
        <f t="shared" si="8"/>
        <v>-3.3367849463208032</v>
      </c>
      <c r="AI14" s="37" t="e">
        <f t="shared" si="9"/>
        <v>#REF!</v>
      </c>
    </row>
    <row r="15" spans="1:35">
      <c r="A15" s="12"/>
      <c r="B15" s="13">
        <f ca="1">Obliczenia!L15</f>
        <v>2022</v>
      </c>
      <c r="C15" s="37">
        <f ca="1">Wyliczenia.jednostkowe!V46</f>
        <v>33.831357843010579</v>
      </c>
      <c r="D15" s="37">
        <f ca="1">Wyliczenia.jednostkowe!W46</f>
        <v>34.543515513592368</v>
      </c>
      <c r="E15" s="37">
        <f ca="1">Wyliczenia.jednostkowe!X46</f>
        <v>36.496453200039689</v>
      </c>
      <c r="F15" s="37">
        <f ca="1">Wyliczenia.jednostkowe!Y46</f>
        <v>35.892076906229107</v>
      </c>
      <c r="G15" s="37">
        <f ca="1">Wyliczenia.jednostkowe!Z46</f>
        <v>33.249639557489935</v>
      </c>
      <c r="H15" s="37"/>
      <c r="J15" s="12"/>
      <c r="K15" s="13">
        <f t="shared" si="1"/>
        <v>2022</v>
      </c>
      <c r="L15" s="37">
        <f ca="1">Obliczenia!G270</f>
        <v>-200450.59030393773</v>
      </c>
      <c r="M15" s="37">
        <f ca="1">Obliczenia!Q270</f>
        <v>-547045.88478323305</v>
      </c>
      <c r="N15" s="37">
        <f ca="1">Obliczenia!AA270</f>
        <v>-289420.07152517792</v>
      </c>
      <c r="O15" s="37">
        <f ca="1">Obliczenia!AK270</f>
        <v>-304001.22608248395</v>
      </c>
      <c r="P15" s="37">
        <f ca="1">Obliczenia!AU270</f>
        <v>-385299.70600619999</v>
      </c>
      <c r="Q15" s="37" t="e">
        <f ca="1">Obliczenia!#REF!</f>
        <v>#REF!</v>
      </c>
      <c r="S15" s="12"/>
      <c r="T15" s="13">
        <f t="shared" si="2"/>
        <v>2022</v>
      </c>
      <c r="U15" s="37">
        <f ca="1">Zalozenia!C395-Zalozenia!C288</f>
        <v>49339.374000000069</v>
      </c>
      <c r="V15" s="37">
        <f ca="1">Zalozenia!D395-Zalozenia!D288</f>
        <v>172279.95000000019</v>
      </c>
      <c r="W15" s="37">
        <f ca="1">Zalozenia!E395-Zalozenia!E288</f>
        <v>108783.47399999993</v>
      </c>
      <c r="X15" s="37">
        <f ca="1">Zalozenia!F395-Zalozenia!F288</f>
        <v>113771.84400000004</v>
      </c>
      <c r="Y15" s="37">
        <f ca="1">Zalozenia!G395-Zalozenia!G288</f>
        <v>108988.56000000006</v>
      </c>
      <c r="Z15" s="37" t="e">
        <f ca="1">Zalozenia!#REF!-Zalozenia!#REF!</f>
        <v>#REF!</v>
      </c>
      <c r="AB15" s="12"/>
      <c r="AC15" s="13">
        <f t="shared" si="3"/>
        <v>2022</v>
      </c>
      <c r="AD15" s="37">
        <f t="shared" si="4"/>
        <v>-4.0626901813536884</v>
      </c>
      <c r="AE15" s="37">
        <f t="shared" si="5"/>
        <v>-3.1753311095297652</v>
      </c>
      <c r="AF15" s="37">
        <f t="shared" si="6"/>
        <v>-2.6605150661503796</v>
      </c>
      <c r="AG15" s="37">
        <f t="shared" si="7"/>
        <v>-2.6720251284885901</v>
      </c>
      <c r="AH15" s="37">
        <f t="shared" si="8"/>
        <v>-3.5352307251898711</v>
      </c>
      <c r="AI15" s="37" t="e">
        <f t="shared" si="9"/>
        <v>#REF!</v>
      </c>
    </row>
    <row r="16" spans="1:35">
      <c r="A16" s="12"/>
      <c r="B16" s="13">
        <f ca="1">Obliczenia!L16</f>
        <v>2023</v>
      </c>
      <c r="C16" s="37">
        <f ca="1">Wyliczenia.jednostkowe!V47</f>
        <v>34.570263862378077</v>
      </c>
      <c r="D16" s="37">
        <f ca="1">Wyliczenia.jednostkowe!W47</f>
        <v>35.28025650252961</v>
      </c>
      <c r="E16" s="37">
        <f ca="1">Wyliczenia.jednostkowe!X47</f>
        <v>37.233194188976931</v>
      </c>
      <c r="F16" s="37">
        <f ca="1">Wyliczenia.jednostkowe!Y47</f>
        <v>36.62881789516635</v>
      </c>
      <c r="G16" s="37">
        <f ca="1">Wyliczenia.jednostkowe!Z47</f>
        <v>33.986380546427185</v>
      </c>
      <c r="H16" s="37"/>
      <c r="J16" s="12"/>
      <c r="K16" s="13">
        <f t="shared" si="1"/>
        <v>2023</v>
      </c>
      <c r="L16" s="37">
        <f ca="1">Obliczenia!G271</f>
        <v>-214541.38902097597</v>
      </c>
      <c r="M16" s="37">
        <f ca="1">Obliczenia!Q271</f>
        <v>-588107.66331806825</v>
      </c>
      <c r="N16" s="37">
        <f ca="1">Obliczenia!AA271</f>
        <v>-310108.2618634887</v>
      </c>
      <c r="O16" s="37">
        <f ca="1">Obliczenia!AK271</f>
        <v>-326887.23515304562</v>
      </c>
      <c r="P16" s="37">
        <f ca="1">Obliczenia!AU271</f>
        <v>-412506.7525360345</v>
      </c>
      <c r="Q16" s="37" t="e">
        <f ca="1">Obliczenia!#REF!</f>
        <v>#REF!</v>
      </c>
      <c r="S16" s="12"/>
      <c r="T16" s="13">
        <f t="shared" si="2"/>
        <v>2023</v>
      </c>
      <c r="U16" s="37">
        <f ca="1">Zalozenia!C396-Zalozenia!C289</f>
        <v>50050.236000000034</v>
      </c>
      <c r="V16" s="37">
        <f ca="1">Zalozenia!D396-Zalozenia!D289</f>
        <v>174785.70000000019</v>
      </c>
      <c r="W16" s="37">
        <f ca="1">Zalozenia!E396-Zalozenia!E289</f>
        <v>109987.77600000007</v>
      </c>
      <c r="X16" s="37">
        <f ca="1">Zalozenia!F396-Zalozenia!F289</f>
        <v>115461.87600000016</v>
      </c>
      <c r="Y16" s="37">
        <f ca="1">Zalozenia!G396-Zalozenia!G289</f>
        <v>110191.31999999983</v>
      </c>
      <c r="Z16" s="37" t="e">
        <f ca="1">Zalozenia!#REF!-Zalozenia!#REF!</f>
        <v>#REF!</v>
      </c>
      <c r="AB16" s="12"/>
      <c r="AC16" s="13">
        <f t="shared" si="3"/>
        <v>2023</v>
      </c>
      <c r="AD16" s="37">
        <f t="shared" si="4"/>
        <v>-4.2865210270132561</v>
      </c>
      <c r="AE16" s="37">
        <f t="shared" si="5"/>
        <v>-3.3647355780139199</v>
      </c>
      <c r="AF16" s="37">
        <f t="shared" si="6"/>
        <v>-2.8194793379901464</v>
      </c>
      <c r="AG16" s="37">
        <f t="shared" si="7"/>
        <v>-2.8311270046664161</v>
      </c>
      <c r="AH16" s="37">
        <f t="shared" si="8"/>
        <v>-3.7435503316961367</v>
      </c>
      <c r="AI16" s="37" t="e">
        <f t="shared" si="9"/>
        <v>#REF!</v>
      </c>
    </row>
    <row r="17" spans="1:35">
      <c r="A17" s="12"/>
      <c r="B17" s="13">
        <f ca="1">Obliczenia!L17</f>
        <v>2024</v>
      </c>
      <c r="C17" s="37">
        <f ca="1">Wyliczenia.jednostkowe!V48</f>
        <v>35.32764253222976</v>
      </c>
      <c r="D17" s="37">
        <f ca="1">Wyliczenia.jednostkowe!W48</f>
        <v>36.03541601619029</v>
      </c>
      <c r="E17" s="37">
        <f ca="1">Wyliczenia.jednostkowe!X48</f>
        <v>37.98835370263761</v>
      </c>
      <c r="F17" s="37">
        <f ca="1">Wyliczenia.jednostkowe!Y48</f>
        <v>37.383977408827029</v>
      </c>
      <c r="G17" s="37">
        <f ca="1">Wyliczenia.jednostkowe!Z48</f>
        <v>34.741540060087857</v>
      </c>
      <c r="H17" s="37"/>
      <c r="J17" s="12"/>
      <c r="K17" s="13">
        <f t="shared" si="1"/>
        <v>2024</v>
      </c>
      <c r="L17" s="37">
        <f ca="1">Obliczenia!G272</f>
        <v>-229428.72699828967</v>
      </c>
      <c r="M17" s="37">
        <f ca="1">Obliczenia!Q272</f>
        <v>-631504.49644197372</v>
      </c>
      <c r="N17" s="37">
        <f ca="1">Obliczenia!AA272</f>
        <v>-331920.86494314449</v>
      </c>
      <c r="O17" s="37">
        <f ca="1">Obliczenia!AK272</f>
        <v>-351086.30405955721</v>
      </c>
      <c r="P17" s="37">
        <f ca="1">Obliczenia!AU272</f>
        <v>-441189.14459059108</v>
      </c>
      <c r="Q17" s="37" t="e">
        <f ca="1">Obliczenia!#REF!</f>
        <v>#REF!</v>
      </c>
      <c r="S17" s="12"/>
      <c r="T17" s="13">
        <f t="shared" si="2"/>
        <v>2024</v>
      </c>
      <c r="U17" s="37">
        <f ca="1">Zalozenia!C397-Zalozenia!C290</f>
        <v>50761.097999999998</v>
      </c>
      <c r="V17" s="37">
        <f ca="1">Zalozenia!D397-Zalozenia!D290</f>
        <v>177291.45000000019</v>
      </c>
      <c r="W17" s="37">
        <f ca="1">Zalozenia!E397-Zalozenia!E290</f>
        <v>111192.07799999998</v>
      </c>
      <c r="X17" s="37">
        <f ca="1">Zalozenia!F397-Zalozenia!F290</f>
        <v>117151.90799999982</v>
      </c>
      <c r="Y17" s="37">
        <f ca="1">Zalozenia!G397-Zalozenia!G290</f>
        <v>111394.08000000007</v>
      </c>
      <c r="Z17" s="37" t="e">
        <f ca="1">Zalozenia!#REF!-Zalozenia!#REF!</f>
        <v>#REF!</v>
      </c>
      <c r="AB17" s="12"/>
      <c r="AC17" s="13">
        <f t="shared" si="3"/>
        <v>2024</v>
      </c>
      <c r="AD17" s="37">
        <f t="shared" si="4"/>
        <v>-4.5197747101193455</v>
      </c>
      <c r="AE17" s="37">
        <f t="shared" si="5"/>
        <v>-3.5619568594084661</v>
      </c>
      <c r="AF17" s="37">
        <f t="shared" si="6"/>
        <v>-2.9851125270196368</v>
      </c>
      <c r="AG17" s="37">
        <f t="shared" si="7"/>
        <v>-2.9968466587804761</v>
      </c>
      <c r="AH17" s="37">
        <f t="shared" si="8"/>
        <v>-3.960615722043674</v>
      </c>
      <c r="AI17" s="37" t="e">
        <f t="shared" si="9"/>
        <v>#REF!</v>
      </c>
    </row>
    <row r="18" spans="1:35">
      <c r="A18" s="12"/>
      <c r="B18" s="13">
        <f ca="1">Obliczenia!L18</f>
        <v>2025</v>
      </c>
      <c r="C18" s="37">
        <f ca="1">Wyliczenia.jednostkowe!V49</f>
        <v>36.103955668827737</v>
      </c>
      <c r="D18" s="37">
        <f ca="1">Wyliczenia.jednostkowe!W49</f>
        <v>36.80945451769248</v>
      </c>
      <c r="E18" s="37">
        <f ca="1">Wyliczenia.jednostkowe!X49</f>
        <v>38.7623922041398</v>
      </c>
      <c r="F18" s="37">
        <f ca="1">Wyliczenia.jednostkowe!Y49</f>
        <v>38.158015910329219</v>
      </c>
      <c r="G18" s="37">
        <f ca="1">Wyliczenia.jednostkowe!Z49</f>
        <v>35.515578561590054</v>
      </c>
      <c r="H18" s="37">
        <f ca="1">Wyliczenia.jednostkowe!AA49</f>
        <v>36.71557856159005</v>
      </c>
      <c r="J18" s="12"/>
      <c r="K18" s="13">
        <f t="shared" si="1"/>
        <v>2025</v>
      </c>
      <c r="L18" s="37">
        <f ca="1">Obliczenia!G273</f>
        <v>-346188.95037570206</v>
      </c>
      <c r="M18" s="37">
        <f ca="1">Obliczenia!Q273</f>
        <v>-1059603.5376178075</v>
      </c>
      <c r="N18" s="37">
        <f ca="1">Obliczenia!AA273</f>
        <v>-536741.43439522164</v>
      </c>
      <c r="O18" s="37">
        <f ca="1">Obliczenia!AK273</f>
        <v>-572562.88323880546</v>
      </c>
      <c r="P18" s="37">
        <f ca="1">Obliczenia!AU273</f>
        <v>-547320.42313841672</v>
      </c>
      <c r="Q18" s="37" t="e">
        <f ca="1">Obliczenia!#REF!</f>
        <v>#REF!</v>
      </c>
      <c r="S18" s="12"/>
      <c r="T18" s="13">
        <f t="shared" si="2"/>
        <v>2025</v>
      </c>
      <c r="U18" s="37">
        <f ca="1">Zalozenia!C398-Zalozenia!C291</f>
        <v>59683.439999999944</v>
      </c>
      <c r="V18" s="37">
        <f ca="1">Zalozenia!D398-Zalozenia!D291</f>
        <v>208480.79999999981</v>
      </c>
      <c r="W18" s="37">
        <f ca="1">Zalozenia!E398-Zalozenia!E291</f>
        <v>130327.32000000007</v>
      </c>
      <c r="X18" s="37">
        <f ca="1">Zalozenia!F398-Zalozenia!F291</f>
        <v>137801.16000000015</v>
      </c>
      <c r="Y18" s="37">
        <f ca="1">Zalozenia!G398-Zalozenia!G291</f>
        <v>130559.76000000001</v>
      </c>
      <c r="Z18" s="37" t="e">
        <f ca="1">Zalozenia!#REF!-Zalozenia!#REF!</f>
        <v>#REF!</v>
      </c>
      <c r="AB18" s="12"/>
      <c r="AC18" s="13">
        <f t="shared" si="3"/>
        <v>2025</v>
      </c>
      <c r="AD18" s="37">
        <f t="shared" si="4"/>
        <v>-5.8004188494447098</v>
      </c>
      <c r="AE18" s="37">
        <f t="shared" si="5"/>
        <v>-5.0824993842013679</v>
      </c>
      <c r="AF18" s="37">
        <f t="shared" si="6"/>
        <v>-4.1184107399371168</v>
      </c>
      <c r="AG18" s="37">
        <f t="shared" si="7"/>
        <v>-4.1549932035318484</v>
      </c>
      <c r="AH18" s="37">
        <f t="shared" si="8"/>
        <v>-4.1921065352633669</v>
      </c>
      <c r="AI18" s="37" t="e">
        <f t="shared" si="9"/>
        <v>#REF!</v>
      </c>
    </row>
    <row r="19" spans="1:35">
      <c r="A19" s="12"/>
      <c r="B19" s="13">
        <f ca="1">Obliczenia!L19</f>
        <v>2026</v>
      </c>
      <c r="C19" s="37">
        <f ca="1">Wyliczenia.jednostkowe!V50</f>
        <v>36.899676633840663</v>
      </c>
      <c r="D19" s="37">
        <f ca="1">Wyliczenia.jednostkowe!W50</f>
        <v>37.602843981732228</v>
      </c>
      <c r="E19" s="37">
        <f ca="1">Wyliczenia.jednostkowe!X50</f>
        <v>39.555781668179549</v>
      </c>
      <c r="F19" s="37">
        <f ca="1">Wyliczenia.jednostkowe!Y50</f>
        <v>38.951405374368967</v>
      </c>
      <c r="G19" s="37">
        <f ca="1">Wyliczenia.jednostkowe!Z50</f>
        <v>36.308968025629802</v>
      </c>
      <c r="H19" s="37">
        <f ca="1">Wyliczenia.jednostkowe!AA50</f>
        <v>37.508968025629798</v>
      </c>
      <c r="J19" s="12"/>
      <c r="K19" s="13">
        <f t="shared" si="1"/>
        <v>2026</v>
      </c>
      <c r="L19" s="37">
        <f ca="1">Obliczenia!G274</f>
        <v>-365916.27634563483</v>
      </c>
      <c r="M19" s="37">
        <f ca="1">Obliczenia!Q274</f>
        <v>-1119597.4293391043</v>
      </c>
      <c r="N19" s="37">
        <f ca="1">Obliczenia!AA274</f>
        <v>-567145.71790080506</v>
      </c>
      <c r="O19" s="37">
        <f ca="1">Obliczenia!AK274</f>
        <v>-605319.49157115154</v>
      </c>
      <c r="P19" s="37">
        <f ca="1">Obliczenia!AU274</f>
        <v>-581401.15534825309</v>
      </c>
      <c r="Q19" s="37" t="e">
        <f ca="1">Obliczenia!#REF!</f>
        <v>#REF!</v>
      </c>
      <c r="S19" s="12"/>
      <c r="T19" s="13">
        <f t="shared" si="2"/>
        <v>2026</v>
      </c>
      <c r="U19" s="37">
        <f ca="1">Zalozenia!C399-Zalozenia!C292</f>
        <v>60120.90399999998</v>
      </c>
      <c r="V19" s="37">
        <f ca="1">Zalozenia!D399-Zalozenia!D292</f>
        <v>209744.31999999983</v>
      </c>
      <c r="W19" s="37">
        <f ca="1">Zalozenia!E399-Zalozenia!E292</f>
        <v>131022.25600000005</v>
      </c>
      <c r="X19" s="37">
        <f ca="1">Zalozenia!F399-Zalozenia!F292</f>
        <v>138643.9040000001</v>
      </c>
      <c r="Y19" s="37">
        <f ca="1">Zalozenia!G399-Zalozenia!G292</f>
        <v>131259.46399999992</v>
      </c>
      <c r="Z19" s="37" t="e">
        <f ca="1">Zalozenia!#REF!-Zalozenia!#REF!</f>
        <v>#REF!</v>
      </c>
      <c r="AB19" s="12"/>
      <c r="AC19" s="13">
        <f t="shared" si="3"/>
        <v>2026</v>
      </c>
      <c r="AD19" s="37">
        <f t="shared" si="4"/>
        <v>-6.0863402244522966</v>
      </c>
      <c r="AE19" s="37">
        <f t="shared" si="5"/>
        <v>-5.3379153692414896</v>
      </c>
      <c r="AF19" s="37">
        <f t="shared" si="6"/>
        <v>-4.3286212221899527</v>
      </c>
      <c r="AG19" s="37">
        <f t="shared" si="7"/>
        <v>-4.3660014909213114</v>
      </c>
      <c r="AH19" s="37">
        <f t="shared" si="8"/>
        <v>-4.4294036988316012</v>
      </c>
      <c r="AI19" s="37" t="e">
        <f t="shared" si="9"/>
        <v>#REF!</v>
      </c>
    </row>
    <row r="20" spans="1:35">
      <c r="A20" s="12"/>
      <c r="B20" s="13">
        <f ca="1">Obliczenia!L20</f>
        <v>2027</v>
      </c>
      <c r="C20" s="37">
        <f ca="1">Wyliczenia.jednostkowe!V51</f>
        <v>37.715290622978912</v>
      </c>
      <c r="D20" s="37">
        <f ca="1">Wyliczenia.jednostkowe!W51</f>
        <v>38.416068182372967</v>
      </c>
      <c r="E20" s="37">
        <f ca="1">Wyliczenia.jednostkowe!X51</f>
        <v>40.369005868820288</v>
      </c>
      <c r="F20" s="37">
        <f ca="1">Wyliczenia.jednostkowe!Y51</f>
        <v>39.764629575009707</v>
      </c>
      <c r="G20" s="37">
        <f ca="1">Wyliczenia.jednostkowe!Z51</f>
        <v>37.122192226270542</v>
      </c>
      <c r="H20" s="37">
        <f ca="1">Wyliczenia.jednostkowe!AA51</f>
        <v>38.322192226270545</v>
      </c>
      <c r="J20" s="12"/>
      <c r="K20" s="13">
        <f t="shared" si="1"/>
        <v>2027</v>
      </c>
      <c r="L20" s="37">
        <f ca="1">Obliczenia!G275</f>
        <v>-388333.44963541068</v>
      </c>
      <c r="M20" s="37">
        <f ca="1">Obliczenia!Q275</f>
        <v>-1189019.1328380601</v>
      </c>
      <c r="N20" s="37">
        <f ca="1">Obliczenia!AA275</f>
        <v>-602363.20512509276</v>
      </c>
      <c r="O20" s="37">
        <f ca="1">Obliczenia!AK275</f>
        <v>-643312.06295551755</v>
      </c>
      <c r="P20" s="37">
        <f ca="1">Obliczenia!AU275</f>
        <v>-623283.00786925387</v>
      </c>
      <c r="Q20" s="37" t="e">
        <f ca="1">Obliczenia!#REF!</f>
        <v>#REF!</v>
      </c>
      <c r="S20" s="12"/>
      <c r="T20" s="13">
        <f t="shared" si="2"/>
        <v>2027</v>
      </c>
      <c r="U20" s="37">
        <f ca="1">Zalozenia!C400-Zalozenia!C293</f>
        <v>60558.368000000017</v>
      </c>
      <c r="V20" s="37">
        <f ca="1">Zalozenia!D400-Zalozenia!D293</f>
        <v>211007.83999999985</v>
      </c>
      <c r="W20" s="37">
        <f ca="1">Zalozenia!E400-Zalozenia!E293</f>
        <v>131717.19200000004</v>
      </c>
      <c r="X20" s="37">
        <f ca="1">Zalozenia!F400-Zalozenia!F293</f>
        <v>139486.64800000004</v>
      </c>
      <c r="Y20" s="37">
        <f ca="1">Zalozenia!G400-Zalozenia!G293</f>
        <v>131959.16799999983</v>
      </c>
      <c r="Z20" s="37" t="e">
        <f ca="1">Zalozenia!#REF!-Zalozenia!#REF!</f>
        <v>#REF!</v>
      </c>
      <c r="AB20" s="12"/>
      <c r="AC20" s="13">
        <f t="shared" si="3"/>
        <v>2027</v>
      </c>
      <c r="AD20" s="37">
        <f t="shared" si="4"/>
        <v>-6.4125481326612137</v>
      </c>
      <c r="AE20" s="37">
        <f t="shared" si="5"/>
        <v>-5.6349523924706348</v>
      </c>
      <c r="AF20" s="37">
        <f t="shared" si="6"/>
        <v>-4.5731555310190073</v>
      </c>
      <c r="AG20" s="37">
        <f t="shared" si="7"/>
        <v>-4.6119974361669183</v>
      </c>
      <c r="AH20" s="37">
        <f t="shared" si="8"/>
        <v>-4.7233020434719224</v>
      </c>
      <c r="AI20" s="37" t="e">
        <f t="shared" si="9"/>
        <v>#REF!</v>
      </c>
    </row>
    <row r="21" spans="1:35">
      <c r="A21" s="12"/>
      <c r="B21" s="13">
        <f ca="1">Obliczenia!L21</f>
        <v>2028</v>
      </c>
      <c r="C21" s="37">
        <f ca="1">Wyliczenia.jednostkowe!V52</f>
        <v>38.55129496184562</v>
      </c>
      <c r="D21" s="37">
        <f ca="1">Wyliczenia.jednostkowe!W52</f>
        <v>39.249622988029728</v>
      </c>
      <c r="E21" s="37">
        <f ca="1">Wyliczenia.jednostkowe!X52</f>
        <v>41.202560674477049</v>
      </c>
      <c r="F21" s="37">
        <f ca="1">Wyliczenia.jednostkowe!Y52</f>
        <v>40.598184380666467</v>
      </c>
      <c r="G21" s="37">
        <f ca="1">Wyliczenia.jednostkowe!Z52</f>
        <v>37.955747031927302</v>
      </c>
      <c r="H21" s="37">
        <f ca="1">Wyliczenia.jednostkowe!AA52</f>
        <v>39.155747031927305</v>
      </c>
      <c r="J21" s="12"/>
      <c r="K21" s="13">
        <f t="shared" si="1"/>
        <v>2028</v>
      </c>
      <c r="L21" s="37">
        <f ca="1">Obliczenia!G276</f>
        <v>-411845.22722438618</v>
      </c>
      <c r="M21" s="37">
        <f ca="1">Obliczenia!Q276</f>
        <v>-1261707.8928364413</v>
      </c>
      <c r="N21" s="37">
        <f ca="1">Obliczenia!AA276</f>
        <v>-639225.51315985806</v>
      </c>
      <c r="O21" s="37">
        <f ca="1">Obliczenia!AK276</f>
        <v>-683100.90955105063</v>
      </c>
      <c r="P21" s="37">
        <f ca="1">Obliczenia!AU276</f>
        <v>-667083.08857293462</v>
      </c>
      <c r="Q21" s="37" t="e">
        <f ca="1">Obliczenia!#REF!</f>
        <v>#REF!</v>
      </c>
      <c r="S21" s="12"/>
      <c r="T21" s="13">
        <f t="shared" si="2"/>
        <v>2028</v>
      </c>
      <c r="U21" s="37">
        <f ca="1">Zalozenia!C401-Zalozenia!C294</f>
        <v>60995.831999999937</v>
      </c>
      <c r="V21" s="37">
        <f ca="1">Zalozenia!D401-Zalozenia!D294</f>
        <v>212271.35999999987</v>
      </c>
      <c r="W21" s="37">
        <f ca="1">Zalozenia!E401-Zalozenia!E294</f>
        <v>132412.12800000026</v>
      </c>
      <c r="X21" s="37">
        <f ca="1">Zalozenia!F401-Zalozenia!F294</f>
        <v>140329.39199999999</v>
      </c>
      <c r="Y21" s="37">
        <f ca="1">Zalozenia!G401-Zalozenia!G294</f>
        <v>132658.87199999974</v>
      </c>
      <c r="Z21" s="37" t="e">
        <f ca="1">Zalozenia!#REF!-Zalozenia!#REF!</f>
        <v>#REF!</v>
      </c>
      <c r="AB21" s="12"/>
      <c r="AC21" s="13">
        <f t="shared" si="3"/>
        <v>2028</v>
      </c>
      <c r="AD21" s="37">
        <f t="shared" si="4"/>
        <v>-6.7520224533438054</v>
      </c>
      <c r="AE21" s="37">
        <f t="shared" si="5"/>
        <v>-5.9438442041189266</v>
      </c>
      <c r="AF21" s="37">
        <f t="shared" si="6"/>
        <v>-4.8275450505550124</v>
      </c>
      <c r="AG21" s="37">
        <f t="shared" si="7"/>
        <v>-4.8678391591053902</v>
      </c>
      <c r="AH21" s="37">
        <f t="shared" si="8"/>
        <v>-5.02855993357863</v>
      </c>
      <c r="AI21" s="37" t="e">
        <f t="shared" si="9"/>
        <v>#REF!</v>
      </c>
    </row>
    <row r="22" spans="1:35">
      <c r="A22" s="12"/>
      <c r="B22" s="13">
        <f ca="1">Obliczenia!L22</f>
        <v>2029</v>
      </c>
      <c r="C22" s="37">
        <f ca="1">Wyliczenia.jednostkowe!V53</f>
        <v>39.408199409183993</v>
      </c>
      <c r="D22" s="37">
        <f ca="1">Wyliczenia.jednostkowe!W53</f>
        <v>40.104016663827906</v>
      </c>
      <c r="E22" s="37">
        <f ca="1">Wyliczenia.jednostkowe!X53</f>
        <v>42.056954350275227</v>
      </c>
      <c r="F22" s="37">
        <f ca="1">Wyliczenia.jednostkowe!Y53</f>
        <v>41.452578056464645</v>
      </c>
      <c r="G22" s="37">
        <f ca="1">Wyliczenia.jednostkowe!Z53</f>
        <v>38.810140707725481</v>
      </c>
      <c r="H22" s="37">
        <f ca="1">Wyliczenia.jednostkowe!AA53</f>
        <v>40.010140707725483</v>
      </c>
      <c r="J22" s="12"/>
      <c r="K22" s="13">
        <f t="shared" si="1"/>
        <v>2029</v>
      </c>
      <c r="L22" s="37">
        <f ca="1">Obliczenia!G277</f>
        <v>-436656.22968553676</v>
      </c>
      <c r="M22" s="37">
        <f ca="1">Obliczenia!Q277</f>
        <v>-1338398.3724038741</v>
      </c>
      <c r="N22" s="37">
        <f ca="1">Obliczenia!AA277</f>
        <v>-678107.51325113035</v>
      </c>
      <c r="O22" s="37">
        <f ca="1">Obliczenia!AK277</f>
        <v>-725095.11362192687</v>
      </c>
      <c r="P22" s="37">
        <f ca="1">Obliczenia!AU277</f>
        <v>-713439.84000223456</v>
      </c>
      <c r="Q22" s="37" t="e">
        <f ca="1">Obliczenia!#REF!</f>
        <v>#REF!</v>
      </c>
      <c r="S22" s="12"/>
      <c r="T22" s="13">
        <f t="shared" si="2"/>
        <v>2029</v>
      </c>
      <c r="U22" s="37">
        <f ca="1">Zalozenia!C402-Zalozenia!C295</f>
        <v>61433.295999999973</v>
      </c>
      <c r="V22" s="37">
        <f ca="1">Zalozenia!D402-Zalozenia!D295</f>
        <v>213534.87999999989</v>
      </c>
      <c r="W22" s="37">
        <f ca="1">Zalozenia!E402-Zalozenia!E295</f>
        <v>133107.06399999978</v>
      </c>
      <c r="X22" s="37">
        <f ca="1">Zalozenia!F402-Zalozenia!F295</f>
        <v>141172.13599999994</v>
      </c>
      <c r="Y22" s="37">
        <f ca="1">Zalozenia!G402-Zalozenia!G295</f>
        <v>133358.57599999988</v>
      </c>
      <c r="Z22" s="37" t="e">
        <f ca="1">Zalozenia!#REF!-Zalozenia!#REF!</f>
        <v>#REF!</v>
      </c>
      <c r="AB22" s="12"/>
      <c r="AC22" s="13">
        <f t="shared" si="3"/>
        <v>2029</v>
      </c>
      <c r="AD22" s="37">
        <f t="shared" si="4"/>
        <v>-7.1078105541583989</v>
      </c>
      <c r="AE22" s="37">
        <f t="shared" si="5"/>
        <v>-6.2678208468980561</v>
      </c>
      <c r="AF22" s="37">
        <f t="shared" si="6"/>
        <v>-5.0944517358682893</v>
      </c>
      <c r="AG22" s="37">
        <f t="shared" si="7"/>
        <v>-5.136248088092449</v>
      </c>
      <c r="AH22" s="37">
        <f t="shared" si="8"/>
        <v>-5.3497859785353077</v>
      </c>
      <c r="AI22" s="37" t="e">
        <f t="shared" si="9"/>
        <v>#REF!</v>
      </c>
    </row>
    <row r="23" spans="1:35">
      <c r="A23" s="12"/>
      <c r="B23" s="13">
        <f ca="1">Obliczenia!L23</f>
        <v>2030</v>
      </c>
      <c r="C23" s="37">
        <f ca="1">Wyliczenia.jednostkowe!V54</f>
        <v>40.286526467705826</v>
      </c>
      <c r="D23" s="37">
        <f ca="1">Wyliczenia.jednostkowe!W54</f>
        <v>40.97977018152104</v>
      </c>
      <c r="E23" s="37">
        <f ca="1">Wyliczenia.jednostkowe!X54</f>
        <v>42.932707867968361</v>
      </c>
      <c r="F23" s="37">
        <f ca="1">Wyliczenia.jednostkowe!Y54</f>
        <v>42.328331574157779</v>
      </c>
      <c r="G23" s="37">
        <f ca="1">Wyliczenia.jednostkowe!Z54</f>
        <v>39.685894225418615</v>
      </c>
      <c r="H23" s="37">
        <f ca="1">Wyliczenia.jednostkowe!AA54</f>
        <v>40.88589422541861</v>
      </c>
      <c r="J23" s="12"/>
      <c r="K23" s="13">
        <f t="shared" si="1"/>
        <v>2030</v>
      </c>
      <c r="L23" s="37">
        <f ca="1">Obliczenia!G278</f>
        <v>-462731.62157185195</v>
      </c>
      <c r="M23" s="37">
        <f ca="1">Obliczenia!Q278</f>
        <v>-1418907.7786459664</v>
      </c>
      <c r="N23" s="37">
        <f ca="1">Obliczenia!AA278</f>
        <v>-718913.25426215283</v>
      </c>
      <c r="O23" s="37">
        <f ca="1">Obliczenia!AK278</f>
        <v>-769191.56034622854</v>
      </c>
      <c r="P23" s="37">
        <f ca="1">Obliczenia!AU278</f>
        <v>-762122.44204476383</v>
      </c>
      <c r="Q23" s="37" t="e">
        <f ca="1">Obliczenia!#REF!</f>
        <v>#REF!</v>
      </c>
      <c r="S23" s="12"/>
      <c r="T23" s="13">
        <f t="shared" si="2"/>
        <v>2030</v>
      </c>
      <c r="U23" s="37">
        <f ca="1">Zalozenia!C403-Zalozenia!C296</f>
        <v>61870.760000000009</v>
      </c>
      <c r="V23" s="37">
        <f ca="1">Zalozenia!D403-Zalozenia!D296</f>
        <v>214798.39999999991</v>
      </c>
      <c r="W23" s="37">
        <f ca="1">Zalozenia!E403-Zalozenia!E296</f>
        <v>133802</v>
      </c>
      <c r="X23" s="37">
        <f ca="1">Zalozenia!F403-Zalozenia!F296</f>
        <v>142014.87999999989</v>
      </c>
      <c r="Y23" s="37">
        <f ca="1">Zalozenia!G403-Zalozenia!G296</f>
        <v>134058.2799999998</v>
      </c>
      <c r="Z23" s="37" t="e">
        <f ca="1">Zalozenia!#REF!-Zalozenia!#REF!</f>
        <v>#REF!</v>
      </c>
      <c r="AB23" s="12"/>
      <c r="AC23" s="13">
        <f t="shared" si="3"/>
        <v>2030</v>
      </c>
      <c r="AD23" s="37">
        <f t="shared" si="4"/>
        <v>-7.4790033542799845</v>
      </c>
      <c r="AE23" s="37">
        <f t="shared" si="5"/>
        <v>-6.6057651204383605</v>
      </c>
      <c r="AF23" s="37">
        <f t="shared" si="6"/>
        <v>-5.3729634404728843</v>
      </c>
      <c r="AG23" s="37">
        <f t="shared" si="7"/>
        <v>-5.4162744097395228</v>
      </c>
      <c r="AH23" s="37">
        <f t="shared" si="8"/>
        <v>-5.6850083564011484</v>
      </c>
      <c r="AI23" s="37" t="e">
        <f t="shared" si="9"/>
        <v>#REF!</v>
      </c>
    </row>
    <row r="24" spans="1:35">
      <c r="A24" s="12"/>
      <c r="B24" s="13">
        <f ca="1">Obliczenia!L24</f>
        <v>2031</v>
      </c>
      <c r="C24" s="37">
        <f ca="1">Wyliczenia.jednostkowe!V55</f>
        <v>41.186811702690704</v>
      </c>
      <c r="D24" s="37">
        <f ca="1">Wyliczenia.jednostkowe!W55</f>
        <v>41.877417537156504</v>
      </c>
      <c r="E24" s="37">
        <f ca="1">Wyliczenia.jednostkowe!X55</f>
        <v>43.830355223603824</v>
      </c>
      <c r="F24" s="37">
        <f ca="1">Wyliczenia.jednostkowe!Y55</f>
        <v>43.225978929793243</v>
      </c>
      <c r="G24" s="37">
        <f ca="1">Wyliczenia.jednostkowe!Z55</f>
        <v>40.583541581054078</v>
      </c>
      <c r="H24" s="37">
        <f ca="1">Wyliczenia.jednostkowe!AA55</f>
        <v>41.783541581054081</v>
      </c>
      <c r="J24" s="12"/>
      <c r="K24" s="13">
        <f t="shared" si="1"/>
        <v>2031</v>
      </c>
      <c r="L24" s="37">
        <f ca="1">Obliczenia!G279</f>
        <v>-490212.59260288213</v>
      </c>
      <c r="M24" s="37">
        <f ca="1">Obliczenia!Q279</f>
        <v>-1503722.5403632401</v>
      </c>
      <c r="N24" s="37">
        <f ca="1">Obliczenia!AA279</f>
        <v>-761889.7208499664</v>
      </c>
      <c r="O24" s="37">
        <f ca="1">Obliczenia!AK279</f>
        <v>-815660.70673479524</v>
      </c>
      <c r="P24" s="37">
        <f ca="1">Obliczenia!AU279</f>
        <v>-813528.99724758556</v>
      </c>
      <c r="Q24" s="37" t="e">
        <f ca="1">Obliczenia!#REF!</f>
        <v>#REF!</v>
      </c>
      <c r="S24" s="12"/>
      <c r="T24" s="13">
        <f t="shared" si="2"/>
        <v>2031</v>
      </c>
      <c r="U24" s="37">
        <f ca="1">Zalozenia!C404-Zalozenia!C297</f>
        <v>62308.224000000046</v>
      </c>
      <c r="V24" s="37">
        <f ca="1">Zalozenia!D404-Zalozenia!D297</f>
        <v>216061.91999999993</v>
      </c>
      <c r="W24" s="37">
        <f ca="1">Zalozenia!E404-Zalozenia!E297</f>
        <v>134496.93600000022</v>
      </c>
      <c r="X24" s="37">
        <f ca="1">Zalozenia!F404-Zalozenia!F297</f>
        <v>142857.62399999984</v>
      </c>
      <c r="Y24" s="37">
        <f ca="1">Zalozenia!G404-Zalozenia!G297</f>
        <v>134757.98399999971</v>
      </c>
      <c r="Z24" s="37" t="e">
        <f ca="1">Zalozenia!#REF!-Zalozenia!#REF!</f>
        <v>#REF!</v>
      </c>
      <c r="AB24" s="12"/>
      <c r="AC24" s="13">
        <f t="shared" si="3"/>
        <v>2031</v>
      </c>
      <c r="AD24" s="37">
        <f t="shared" si="4"/>
        <v>-7.8675423745488517</v>
      </c>
      <c r="AE24" s="37">
        <f t="shared" si="5"/>
        <v>-6.9596833183896569</v>
      </c>
      <c r="AF24" s="37">
        <f t="shared" si="6"/>
        <v>-5.6647366364536751</v>
      </c>
      <c r="AG24" s="37">
        <f t="shared" si="7"/>
        <v>-5.7096057171915175</v>
      </c>
      <c r="AH24" s="37">
        <f t="shared" si="8"/>
        <v>-6.0369632514507439</v>
      </c>
      <c r="AI24" s="37" t="e">
        <f t="shared" si="9"/>
        <v>#REF!</v>
      </c>
    </row>
    <row r="25" spans="1:35">
      <c r="A25" s="12"/>
      <c r="B25" s="13">
        <f ca="1">Obliczenia!L25</f>
        <v>2032</v>
      </c>
      <c r="C25" s="37">
        <f ca="1">Wyliczenia.jednostkowe!V56</f>
        <v>42.109604068550205</v>
      </c>
      <c r="D25" s="37">
        <f ca="1">Wyliczenia.jednostkowe!W56</f>
        <v>42.797506076682851</v>
      </c>
      <c r="E25" s="37">
        <f ca="1">Wyliczenia.jednostkowe!X56</f>
        <v>44.750443763130171</v>
      </c>
      <c r="F25" s="37">
        <f ca="1">Wyliczenia.jednostkowe!Y56</f>
        <v>44.14606746931959</v>
      </c>
      <c r="G25" s="37">
        <f ca="1">Wyliczenia.jednostkowe!Z56</f>
        <v>41.503630120580425</v>
      </c>
      <c r="H25" s="37">
        <f ca="1">Wyliczenia.jednostkowe!AA56</f>
        <v>42.703630120580428</v>
      </c>
      <c r="J25" s="12"/>
      <c r="K25" s="13">
        <f t="shared" si="1"/>
        <v>2032</v>
      </c>
      <c r="L25" s="37">
        <f ca="1">Obliczenia!G280</f>
        <v>-519130.29177784245</v>
      </c>
      <c r="M25" s="37">
        <f ca="1">Obliczenia!Q280</f>
        <v>-1592907.0076779572</v>
      </c>
      <c r="N25" s="37">
        <f ca="1">Obliczenia!AA280</f>
        <v>-807067.43188235711</v>
      </c>
      <c r="O25" s="37">
        <f ca="1">Obliczenia!AK280</f>
        <v>-864537.31013715803</v>
      </c>
      <c r="P25" s="37">
        <f ca="1">Obliczenia!AU280</f>
        <v>-867656.61021567939</v>
      </c>
      <c r="Q25" s="37" t="e">
        <f ca="1">Obliczenia!#REF!</f>
        <v>#REF!</v>
      </c>
      <c r="S25" s="12"/>
      <c r="T25" s="13">
        <f t="shared" si="2"/>
        <v>2032</v>
      </c>
      <c r="U25" s="37">
        <f ca="1">Zalozenia!C405-Zalozenia!C298</f>
        <v>62745.688000000082</v>
      </c>
      <c r="V25" s="37">
        <f ca="1">Zalozenia!D405-Zalozenia!D298</f>
        <v>217325.43999999994</v>
      </c>
      <c r="W25" s="37">
        <f ca="1">Zalozenia!E405-Zalozenia!E298</f>
        <v>135191.87199999997</v>
      </c>
      <c r="X25" s="37">
        <f ca="1">Zalozenia!F405-Zalozenia!F298</f>
        <v>143700.36799999978</v>
      </c>
      <c r="Y25" s="37">
        <f ca="1">Zalozenia!G405-Zalozenia!G298</f>
        <v>135457.68799999962</v>
      </c>
      <c r="Z25" s="37" t="e">
        <f ca="1">Zalozenia!#REF!-Zalozenia!#REF!</f>
        <v>#REF!</v>
      </c>
      <c r="AB25" s="12"/>
      <c r="AC25" s="13">
        <f t="shared" si="3"/>
        <v>2032</v>
      </c>
      <c r="AD25" s="37">
        <f t="shared" si="4"/>
        <v>-8.2735612330498594</v>
      </c>
      <c r="AE25" s="37">
        <f t="shared" si="5"/>
        <v>-7.3295929260649721</v>
      </c>
      <c r="AF25" s="37">
        <f t="shared" si="6"/>
        <v>-5.9697925618069503</v>
      </c>
      <c r="AG25" s="37">
        <f t="shared" si="7"/>
        <v>-6.0162497992848518</v>
      </c>
      <c r="AH25" s="37">
        <f t="shared" si="8"/>
        <v>-6.4053699943238502</v>
      </c>
      <c r="AI25" s="37" t="e">
        <f t="shared" si="9"/>
        <v>#REF!</v>
      </c>
    </row>
    <row r="26" spans="1:35">
      <c r="A26" s="12"/>
      <c r="B26" s="13">
        <f ca="1">Obliczenia!L26</f>
        <v>2033</v>
      </c>
      <c r="C26" s="37">
        <f ca="1">Wyliczenia.jednostkowe!V57</f>
        <v>43.055466243556189</v>
      </c>
      <c r="D26" s="37">
        <f ca="1">Wyliczenia.jednostkowe!W57</f>
        <v>43.74059682969736</v>
      </c>
      <c r="E26" s="37">
        <f ca="1">Wyliczenia.jednostkowe!X57</f>
        <v>45.69353451614468</v>
      </c>
      <c r="F26" s="37">
        <f ca="1">Wyliczenia.jednostkowe!Y57</f>
        <v>45.089158222334099</v>
      </c>
      <c r="G26" s="37">
        <f ca="1">Wyliczenia.jednostkowe!Z57</f>
        <v>42.446720873594934</v>
      </c>
      <c r="H26" s="37">
        <f ca="1">Wyliczenia.jednostkowe!AA57</f>
        <v>43.64672087359493</v>
      </c>
      <c r="J26" s="12"/>
      <c r="K26" s="13">
        <f t="shared" si="1"/>
        <v>2033</v>
      </c>
      <c r="L26" s="37">
        <f ca="1">Obliczenia!G281</f>
        <v>-550751.60357421741</v>
      </c>
      <c r="M26" s="37">
        <f ca="1">Obliczenia!Q281</f>
        <v>-1691215.6362863411</v>
      </c>
      <c r="N26" s="37">
        <f ca="1">Obliczenia!AA281</f>
        <v>-856874.30425434117</v>
      </c>
      <c r="O26" s="37">
        <f ca="1">Obliczenia!AK281</f>
        <v>-918475.00745231984</v>
      </c>
      <c r="P26" s="37">
        <f ca="1">Obliczenia!AU281</f>
        <v>-928914.2949938128</v>
      </c>
      <c r="Q26" s="37" t="e">
        <f ca="1">Obliczenia!#REF!</f>
        <v>#REF!</v>
      </c>
      <c r="S26" s="12"/>
      <c r="T26" s="13">
        <f t="shared" si="2"/>
        <v>2033</v>
      </c>
      <c r="U26" s="37">
        <f ca="1">Zalozenia!C406-Zalozenia!C299</f>
        <v>63183.152000000002</v>
      </c>
      <c r="V26" s="37">
        <f ca="1">Zalozenia!D406-Zalozenia!D299</f>
        <v>218588.95999999996</v>
      </c>
      <c r="W26" s="37">
        <f ca="1">Zalozenia!E406-Zalozenia!E299</f>
        <v>135886.80799999973</v>
      </c>
      <c r="X26" s="37">
        <f ca="1">Zalozenia!F406-Zalozenia!F299</f>
        <v>144543.1120000002</v>
      </c>
      <c r="Y26" s="37">
        <f ca="1">Zalozenia!G406-Zalozenia!G299</f>
        <v>136157.39199999999</v>
      </c>
      <c r="Z26" s="37" t="e">
        <f ca="1">Zalozenia!#REF!-Zalozenia!#REF!</f>
        <v>#REF!</v>
      </c>
      <c r="AB26" s="12"/>
      <c r="AC26" s="13">
        <f t="shared" si="3"/>
        <v>2033</v>
      </c>
      <c r="AD26" s="37">
        <f t="shared" si="4"/>
        <v>-8.7167478376864995</v>
      </c>
      <c r="AE26" s="37">
        <f t="shared" si="5"/>
        <v>-7.7369673028607728</v>
      </c>
      <c r="AF26" s="37">
        <f t="shared" si="6"/>
        <v>-6.3057946305894745</v>
      </c>
      <c r="AG26" s="37">
        <f t="shared" si="7"/>
        <v>-6.3543325914576858</v>
      </c>
      <c r="AH26" s="37">
        <f t="shared" si="8"/>
        <v>-6.8223566957996145</v>
      </c>
      <c r="AI26" s="37" t="e">
        <f t="shared" si="9"/>
        <v>#REF!</v>
      </c>
    </row>
    <row r="27" spans="1:35">
      <c r="A27" s="12"/>
      <c r="B27" s="13">
        <f ca="1">Obliczenia!L27</f>
        <v>2034</v>
      </c>
      <c r="C27" s="37">
        <f ca="1">Wyliczenia.jednostkowe!V58</f>
        <v>44.024974972937322</v>
      </c>
      <c r="D27" s="37">
        <f ca="1">Wyliczenia.jednostkowe!W58</f>
        <v>44.707264851537232</v>
      </c>
      <c r="E27" s="37">
        <f ca="1">Wyliczenia.jednostkowe!X58</f>
        <v>46.660202537984553</v>
      </c>
      <c r="F27" s="37">
        <f ca="1">Wyliczenia.jednostkowe!Y58</f>
        <v>46.055826244173971</v>
      </c>
      <c r="G27" s="37">
        <f ca="1">Wyliczenia.jednostkowe!Z58</f>
        <v>43.413388895434807</v>
      </c>
      <c r="H27" s="37">
        <f ca="1">Wyliczenia.jednostkowe!AA58</f>
        <v>44.613388895434809</v>
      </c>
      <c r="J27" s="12"/>
      <c r="K27" s="13">
        <f t="shared" si="1"/>
        <v>2034</v>
      </c>
      <c r="L27" s="37">
        <f ca="1">Obliczenia!G282</f>
        <v>-584030.0421632299</v>
      </c>
      <c r="M27" s="37">
        <f ca="1">Obliczenia!Q282</f>
        <v>-1794605.3810942804</v>
      </c>
      <c r="N27" s="37">
        <f ca="1">Obliczenia!AA282</f>
        <v>-909238.18611392181</v>
      </c>
      <c r="O27" s="37">
        <f ca="1">Obliczenia!AK282</f>
        <v>-975215.1744894305</v>
      </c>
      <c r="P27" s="37">
        <f ca="1">Obliczenia!AU282</f>
        <v>-993421.68131899706</v>
      </c>
      <c r="Q27" s="37" t="e">
        <f ca="1">Obliczenia!#REF!</f>
        <v>#REF!</v>
      </c>
      <c r="S27" s="12"/>
      <c r="T27" s="13">
        <f t="shared" si="2"/>
        <v>2034</v>
      </c>
      <c r="U27" s="37">
        <f ca="1">Zalozenia!C407-Zalozenia!C300</f>
        <v>63620.615999999922</v>
      </c>
      <c r="V27" s="37">
        <f ca="1">Zalozenia!D407-Zalozenia!D300</f>
        <v>219852.47999999998</v>
      </c>
      <c r="W27" s="37">
        <f ca="1">Zalozenia!E407-Zalozenia!E300</f>
        <v>136581.74399999995</v>
      </c>
      <c r="X27" s="37">
        <f ca="1">Zalozenia!F407-Zalozenia!F300</f>
        <v>145385.85600000015</v>
      </c>
      <c r="Y27" s="37">
        <f ca="1">Zalozenia!G407-Zalozenia!G300</f>
        <v>136857.0959999999</v>
      </c>
      <c r="Z27" s="37" t="e">
        <f ca="1">Zalozenia!#REF!-Zalozenia!#REF!</f>
        <v>#REF!</v>
      </c>
      <c r="AB27" s="12"/>
      <c r="AC27" s="13">
        <f t="shared" si="3"/>
        <v>2034</v>
      </c>
      <c r="AD27" s="37">
        <f t="shared" si="4"/>
        <v>-9.1798866292528611</v>
      </c>
      <c r="AE27" s="37">
        <f t="shared" si="5"/>
        <v>-8.162770695578601</v>
      </c>
      <c r="AF27" s="37">
        <f t="shared" si="6"/>
        <v>-6.6570989612925295</v>
      </c>
      <c r="AG27" s="37">
        <f t="shared" si="7"/>
        <v>-6.707772002865461</v>
      </c>
      <c r="AH27" s="37">
        <f t="shared" si="8"/>
        <v>-7.2588247913648392</v>
      </c>
      <c r="AI27" s="37" t="e">
        <f t="shared" si="9"/>
        <v>#REF!</v>
      </c>
    </row>
    <row r="28" spans="1:35">
      <c r="A28" s="12"/>
      <c r="B28" s="13">
        <f ca="1">Obliczenia!L28</f>
        <v>2035</v>
      </c>
      <c r="C28" s="37">
        <f ca="1">Wyliczenia.jednostkowe!V59</f>
        <v>45.018721420552986</v>
      </c>
      <c r="D28" s="37">
        <f ca="1">Wyliczenia.jednostkowe!W59</f>
        <v>45.698099573923102</v>
      </c>
      <c r="E28" s="37">
        <f ca="1">Wyliczenia.jednostkowe!X59</f>
        <v>47.651037260370423</v>
      </c>
      <c r="F28" s="37">
        <f ca="1">Wyliczenia.jednostkowe!Y59</f>
        <v>47.046660966559841</v>
      </c>
      <c r="G28" s="37">
        <f ca="1">Wyliczenia.jednostkowe!Z59</f>
        <v>44.404223617820676</v>
      </c>
      <c r="H28" s="37">
        <f ca="1">Wyliczenia.jednostkowe!AA59</f>
        <v>45.604223617820679</v>
      </c>
      <c r="J28" s="12"/>
      <c r="K28" s="13">
        <f t="shared" si="1"/>
        <v>2035</v>
      </c>
      <c r="L28" s="37">
        <f ca="1">Obliczenia!G283</f>
        <v>-619029.75680254283</v>
      </c>
      <c r="M28" s="37">
        <f ca="1">Obliczenia!Q283</f>
        <v>-1903257.5198733166</v>
      </c>
      <c r="N28" s="37">
        <f ca="1">Obliczenia!AA283</f>
        <v>-964248.97337149223</v>
      </c>
      <c r="O28" s="37">
        <f ca="1">Obliczenia!AK283</f>
        <v>-1034857.7288504661</v>
      </c>
      <c r="P28" s="37">
        <f ca="1">Obliczenia!AU283</f>
        <v>-1061276.6373593789</v>
      </c>
      <c r="Q28" s="37" t="e">
        <f ca="1">Obliczenia!#REF!</f>
        <v>#REF!</v>
      </c>
      <c r="S28" s="12"/>
      <c r="T28" s="13">
        <f t="shared" si="2"/>
        <v>2035</v>
      </c>
      <c r="U28" s="37">
        <f ca="1">Zalozenia!C408-Zalozenia!C301</f>
        <v>64058.079999999958</v>
      </c>
      <c r="V28" s="37">
        <f ca="1">Zalozenia!D408-Zalozenia!D301</f>
        <v>221116</v>
      </c>
      <c r="W28" s="37">
        <f ca="1">Zalozenia!E408-Zalozenia!E301</f>
        <v>137276.68000000017</v>
      </c>
      <c r="X28" s="37">
        <f ca="1">Zalozenia!F408-Zalozenia!F301</f>
        <v>146228.60000000009</v>
      </c>
      <c r="Y28" s="37">
        <f ca="1">Zalozenia!G408-Zalozenia!G301</f>
        <v>137556.79999999981</v>
      </c>
      <c r="Z28" s="37" t="e">
        <f ca="1">Zalozenia!#REF!-Zalozenia!#REF!</f>
        <v>#REF!</v>
      </c>
      <c r="AB28" s="12"/>
      <c r="AC28" s="13">
        <f t="shared" si="3"/>
        <v>2035</v>
      </c>
      <c r="AD28" s="37">
        <f t="shared" si="4"/>
        <v>-9.6635702600287612</v>
      </c>
      <c r="AE28" s="37">
        <f t="shared" si="5"/>
        <v>-8.6075070093223314</v>
      </c>
      <c r="AF28" s="37">
        <f t="shared" si="6"/>
        <v>-7.0241280119208236</v>
      </c>
      <c r="AG28" s="37">
        <f t="shared" si="7"/>
        <v>-7.0769858211763319</v>
      </c>
      <c r="AH28" s="37">
        <f t="shared" si="8"/>
        <v>-7.7151884702128886</v>
      </c>
      <c r="AI28" s="37" t="e">
        <f t="shared" si="9"/>
        <v>#REF!</v>
      </c>
    </row>
    <row r="29" spans="1:35">
      <c r="A29" s="12"/>
      <c r="B29" s="13">
        <f ca="1">Obliczenia!L29</f>
        <v>2036</v>
      </c>
      <c r="C29" s="37">
        <f ca="1">Wyliczenia.jednostkowe!V60</f>
        <v>46.037311529359044</v>
      </c>
      <c r="D29" s="37">
        <f ca="1">Wyliczenia.jednostkowe!W60</f>
        <v>46.713705164368612</v>
      </c>
      <c r="E29" s="37">
        <f ca="1">Wyliczenia.jednostkowe!X60</f>
        <v>48.666642850815933</v>
      </c>
      <c r="F29" s="37">
        <f ca="1">Wyliczenia.jednostkowe!Y60</f>
        <v>48.062266557005351</v>
      </c>
      <c r="G29" s="37">
        <f ca="1">Wyliczenia.jednostkowe!Z60</f>
        <v>45.419829208266187</v>
      </c>
      <c r="H29" s="37">
        <f ca="1">Wyliczenia.jednostkowe!AA60</f>
        <v>46.619829208266182</v>
      </c>
      <c r="J29" s="12"/>
      <c r="K29" s="13">
        <f t="shared" si="1"/>
        <v>2036</v>
      </c>
      <c r="L29" s="37">
        <f ca="1">Obliczenia!G284</f>
        <v>-655861.57268106355</v>
      </c>
      <c r="M29" s="37">
        <f ca="1">Obliczenia!Q284</f>
        <v>-2017527.2132537367</v>
      </c>
      <c r="N29" s="37">
        <f ca="1">Obliczenia!AA284</f>
        <v>-1022085.1987702723</v>
      </c>
      <c r="O29" s="37">
        <f ca="1">Obliczenia!AK284</f>
        <v>-1097599.6414358662</v>
      </c>
      <c r="P29" s="37">
        <f ca="1">Obliczenia!AU284</f>
        <v>-1132737.1630954938</v>
      </c>
      <c r="Q29" s="37" t="e">
        <f ca="1">Obliczenia!#REF!</f>
        <v>#REF!</v>
      </c>
      <c r="S29" s="12"/>
      <c r="T29" s="13">
        <f t="shared" si="2"/>
        <v>2036</v>
      </c>
      <c r="U29" s="37">
        <f ca="1">Zalozenia!C409-Zalozenia!C302</f>
        <v>64495.543999999994</v>
      </c>
      <c r="V29" s="37">
        <f ca="1">Zalozenia!D409-Zalozenia!D302</f>
        <v>222379.52000000002</v>
      </c>
      <c r="W29" s="37">
        <f ca="1">Zalozenia!E409-Zalozenia!E302</f>
        <v>137971.61599999992</v>
      </c>
      <c r="X29" s="37">
        <f ca="1">Zalozenia!F409-Zalozenia!F302</f>
        <v>147071.34400000004</v>
      </c>
      <c r="Y29" s="37">
        <f ca="1">Zalozenia!G409-Zalozenia!G302</f>
        <v>138256.50399999972</v>
      </c>
      <c r="Z29" s="37" t="e">
        <f ca="1">Zalozenia!#REF!-Zalozenia!#REF!</f>
        <v>#REF!</v>
      </c>
      <c r="AB29" s="12"/>
      <c r="AC29" s="13">
        <f t="shared" si="3"/>
        <v>2036</v>
      </c>
      <c r="AD29" s="37">
        <f t="shared" si="4"/>
        <v>-10.169099010639613</v>
      </c>
      <c r="AE29" s="37">
        <f t="shared" si="5"/>
        <v>-9.0724506161976457</v>
      </c>
      <c r="AF29" s="37">
        <f t="shared" si="6"/>
        <v>-7.4079381571516336</v>
      </c>
      <c r="AG29" s="37">
        <f t="shared" si="7"/>
        <v>-7.4630421643244516</v>
      </c>
      <c r="AH29" s="37">
        <f t="shared" si="8"/>
        <v>-8.1930117594720606</v>
      </c>
      <c r="AI29" s="37" t="e">
        <f t="shared" si="9"/>
        <v>#REF!</v>
      </c>
    </row>
    <row r="30" spans="1:35">
      <c r="A30" s="12"/>
      <c r="B30" s="13">
        <f ca="1">Obliczenia!L30</f>
        <v>2037</v>
      </c>
      <c r="C30" s="37">
        <f ca="1">Wyliczenia.jednostkowe!V61</f>
        <v>47.08136639088525</v>
      </c>
      <c r="D30" s="37">
        <f ca="1">Wyliczenia.jednostkowe!W61</f>
        <v>47.754700894575265</v>
      </c>
      <c r="E30" s="37">
        <f ca="1">Wyliczenia.jednostkowe!X61</f>
        <v>49.707638581022586</v>
      </c>
      <c r="F30" s="37">
        <f ca="1">Wyliczenia.jednostkowe!Y61</f>
        <v>49.103262287212004</v>
      </c>
      <c r="G30" s="37">
        <f ca="1">Wyliczenia.jednostkowe!Z61</f>
        <v>46.46082493847284</v>
      </c>
      <c r="H30" s="37">
        <f ca="1">Wyliczenia.jednostkowe!AA61</f>
        <v>47.660824938472842</v>
      </c>
      <c r="J30" s="12"/>
      <c r="K30" s="13">
        <f t="shared" si="1"/>
        <v>2037</v>
      </c>
      <c r="L30" s="37">
        <f ca="1">Obliczenia!G285</f>
        <v>-694579.87214904511</v>
      </c>
      <c r="M30" s="37">
        <f ca="1">Obliczenia!Q285</f>
        <v>-2137552.743858634</v>
      </c>
      <c r="N30" s="37">
        <f ca="1">Obliczenia!AA285</f>
        <v>-1082814.516248805</v>
      </c>
      <c r="O30" s="37">
        <f ca="1">Obliczenia!AK285</f>
        <v>-1163516.7055899496</v>
      </c>
      <c r="P30" s="37">
        <f ca="1">Obliczenia!AU285</f>
        <v>-1207853.932070388</v>
      </c>
      <c r="Q30" s="37" t="e">
        <f ca="1">Obliczenia!#REF!</f>
        <v>#REF!</v>
      </c>
      <c r="S30" s="12"/>
      <c r="T30" s="13">
        <f t="shared" si="2"/>
        <v>2037</v>
      </c>
      <c r="U30" s="37">
        <f ca="1">Zalozenia!C410-Zalozenia!C303</f>
        <v>64933.008000000031</v>
      </c>
      <c r="V30" s="37">
        <f ca="1">Zalozenia!D410-Zalozenia!D303</f>
        <v>223643.04000000004</v>
      </c>
      <c r="W30" s="37">
        <f ca="1">Zalozenia!E410-Zalozenia!E303</f>
        <v>138666.55200000014</v>
      </c>
      <c r="X30" s="37">
        <f ca="1">Zalozenia!F410-Zalozenia!F303</f>
        <v>147914.08799999999</v>
      </c>
      <c r="Y30" s="37">
        <f ca="1">Zalozenia!G410-Zalozenia!G303</f>
        <v>138956.20799999963</v>
      </c>
      <c r="Z30" s="37" t="e">
        <f ca="1">Zalozenia!#REF!-Zalozenia!#REF!</f>
        <v>#REF!</v>
      </c>
      <c r="AB30" s="12"/>
      <c r="AC30" s="13">
        <f t="shared" si="3"/>
        <v>2037</v>
      </c>
      <c r="AD30" s="37">
        <f t="shared" si="4"/>
        <v>-10.696868873671228</v>
      </c>
      <c r="AE30" s="37">
        <f t="shared" si="5"/>
        <v>-9.5578773381842499</v>
      </c>
      <c r="AF30" s="37">
        <f t="shared" si="6"/>
        <v>-7.8087649878883836</v>
      </c>
      <c r="AG30" s="37">
        <f t="shared" si="7"/>
        <v>-7.8661655649051472</v>
      </c>
      <c r="AH30" s="37">
        <f t="shared" si="8"/>
        <v>-8.6923351569178635</v>
      </c>
      <c r="AI30" s="37" t="e">
        <f t="shared" si="9"/>
        <v>#REF!</v>
      </c>
    </row>
    <row r="31" spans="1:35">
      <c r="A31" s="12"/>
      <c r="B31" s="13">
        <f ca="1">Obliczenia!L31</f>
        <v>2038</v>
      </c>
      <c r="C31" s="37">
        <f ca="1">Wyliczenia.jednostkowe!V62</f>
        <v>48.15152262394961</v>
      </c>
      <c r="D31" s="37">
        <f ca="1">Wyliczenia.jednostkowe!W62</f>
        <v>48.82172151803708</v>
      </c>
      <c r="E31" s="37">
        <f ca="1">Wyliczenia.jednostkowe!X62</f>
        <v>50.774659204484401</v>
      </c>
      <c r="F31" s="37">
        <f ca="1">Wyliczenia.jednostkowe!Y62</f>
        <v>50.170282910673819</v>
      </c>
      <c r="G31" s="37">
        <f ca="1">Wyliczenia.jednostkowe!Z62</f>
        <v>47.527845561934654</v>
      </c>
      <c r="H31" s="37">
        <f ca="1">Wyliczenia.jednostkowe!AA62</f>
        <v>48.727845561934657</v>
      </c>
      <c r="J31" s="12"/>
      <c r="K31" s="13">
        <f t="shared" si="1"/>
        <v>2038</v>
      </c>
      <c r="L31" s="37">
        <f ca="1">Obliczenia!G286</f>
        <v>-735233.57150690688</v>
      </c>
      <c r="M31" s="37">
        <f ca="1">Obliczenia!Q286</f>
        <v>-2263448.9655993977</v>
      </c>
      <c r="N31" s="37">
        <f ca="1">Obliczenia!AA286</f>
        <v>-1146492.6673474256</v>
      </c>
      <c r="O31" s="37">
        <f ca="1">Obliczenia!AK286</f>
        <v>-1232671.5670634375</v>
      </c>
      <c r="P31" s="37">
        <f ca="1">Obliczenia!AU286</f>
        <v>-1286652.2231149813</v>
      </c>
      <c r="Q31" s="37" t="e">
        <f ca="1">Obliczenia!#REF!</f>
        <v>#REF!</v>
      </c>
      <c r="S31" s="12"/>
      <c r="T31" s="13">
        <f t="shared" si="2"/>
        <v>2038</v>
      </c>
      <c r="U31" s="37">
        <f ca="1">Zalozenia!C411-Zalozenia!C304</f>
        <v>65370.471999999951</v>
      </c>
      <c r="V31" s="37">
        <f ca="1">Zalozenia!D411-Zalozenia!D304</f>
        <v>224906.56000000006</v>
      </c>
      <c r="W31" s="37">
        <f ca="1">Zalozenia!E411-Zalozenia!E304</f>
        <v>139361.4879999999</v>
      </c>
      <c r="X31" s="37">
        <f ca="1">Zalozenia!F411-Zalozenia!F304</f>
        <v>148756.8320000004</v>
      </c>
      <c r="Y31" s="37">
        <f ca="1">Zalozenia!G411-Zalozenia!G304</f>
        <v>139655.91200000001</v>
      </c>
      <c r="Z31" s="37" t="e">
        <f ca="1">Zalozenia!#REF!-Zalozenia!#REF!</f>
        <v>#REF!</v>
      </c>
      <c r="AB31" s="12"/>
      <c r="AC31" s="13">
        <f t="shared" si="3"/>
        <v>2038</v>
      </c>
      <c r="AD31" s="37">
        <f t="shared" si="4"/>
        <v>-11.247181625167208</v>
      </c>
      <c r="AE31" s="37">
        <f t="shared" si="5"/>
        <v>-10.063952628146538</v>
      </c>
      <c r="AF31" s="37">
        <f t="shared" si="6"/>
        <v>-8.2267539174626663</v>
      </c>
      <c r="AG31" s="37">
        <f t="shared" si="7"/>
        <v>-8.2864870842599974</v>
      </c>
      <c r="AH31" s="37">
        <f t="shared" si="8"/>
        <v>-9.2130165110015625</v>
      </c>
      <c r="AI31" s="37" t="e">
        <f t="shared" si="9"/>
        <v>#REF!</v>
      </c>
    </row>
    <row r="32" spans="1:35">
      <c r="A32" s="12"/>
      <c r="B32" s="13">
        <f ca="1">Obliczenia!L32</f>
        <v>2039</v>
      </c>
      <c r="C32" s="37">
        <f ca="1">Wyliczenia.jednostkowe!V63</f>
        <v>49.248432762840579</v>
      </c>
      <c r="D32" s="37">
        <f ca="1">Wyliczenia.jednostkowe!W63</f>
        <v>49.915417657085442</v>
      </c>
      <c r="E32" s="37">
        <f ca="1">Wyliczenia.jednostkowe!X63</f>
        <v>51.868355343532762</v>
      </c>
      <c r="F32" s="37">
        <f ca="1">Wyliczenia.jednostkowe!Y63</f>
        <v>51.263979049722181</v>
      </c>
      <c r="G32" s="37">
        <f ca="1">Wyliczenia.jednostkowe!Z63</f>
        <v>48.621541700983016</v>
      </c>
      <c r="H32" s="37">
        <f ca="1">Wyliczenia.jednostkowe!AA63</f>
        <v>49.821541700983019</v>
      </c>
      <c r="J32" s="12"/>
      <c r="K32" s="13">
        <f t="shared" si="1"/>
        <v>2039</v>
      </c>
      <c r="L32" s="37">
        <f ca="1">Obliczenia!G287</f>
        <v>-778025.0044499815</v>
      </c>
      <c r="M32" s="37">
        <f ca="1">Obliczenia!Q287</f>
        <v>-2395906.742869176</v>
      </c>
      <c r="N32" s="37">
        <f ca="1">Obliczenia!AA287</f>
        <v>-1213468.7108777582</v>
      </c>
      <c r="O32" s="37">
        <f ca="1">Obliczenia!AK287</f>
        <v>-1305448.5276487113</v>
      </c>
      <c r="P32" s="37">
        <f ca="1">Obliczenia!AU287</f>
        <v>-1369694.0316582518</v>
      </c>
      <c r="Q32" s="37" t="e">
        <f ca="1">Obliczenia!#REF!</f>
        <v>#REF!</v>
      </c>
      <c r="S32" s="12"/>
      <c r="T32" s="13">
        <f t="shared" si="2"/>
        <v>2039</v>
      </c>
      <c r="U32" s="37">
        <f ca="1">Zalozenia!C412-Zalozenia!C305</f>
        <v>65807.935999999871</v>
      </c>
      <c r="V32" s="37">
        <f ca="1">Zalozenia!D412-Zalozenia!D305</f>
        <v>226170.08000000007</v>
      </c>
      <c r="W32" s="37">
        <f ca="1">Zalozenia!E412-Zalozenia!E305</f>
        <v>140056.42400000012</v>
      </c>
      <c r="X32" s="37">
        <f ca="1">Zalozenia!F412-Zalozenia!F305</f>
        <v>149599.57599999988</v>
      </c>
      <c r="Y32" s="37">
        <f ca="1">Zalozenia!G412-Zalozenia!G305</f>
        <v>140355.61599999992</v>
      </c>
      <c r="Z32" s="37" t="e">
        <f ca="1">Zalozenia!#REF!-Zalozenia!#REF!</f>
        <v>#REF!</v>
      </c>
      <c r="AB32" s="12"/>
      <c r="AC32" s="13">
        <f t="shared" si="3"/>
        <v>2039</v>
      </c>
      <c r="AD32" s="37">
        <f t="shared" si="4"/>
        <v>-11.822662307019977</v>
      </c>
      <c r="AE32" s="37">
        <f t="shared" si="5"/>
        <v>-10.593385043986256</v>
      </c>
      <c r="AF32" s="37">
        <f t="shared" si="6"/>
        <v>-8.6641417524536912</v>
      </c>
      <c r="AG32" s="37">
        <f t="shared" si="7"/>
        <v>-8.7262849438070091</v>
      </c>
      <c r="AH32" s="37">
        <f t="shared" si="8"/>
        <v>-9.7587404814514329</v>
      </c>
      <c r="AI32" s="37" t="e">
        <f t="shared" si="9"/>
        <v>#REF!</v>
      </c>
    </row>
    <row r="33" spans="1:35">
      <c r="A33" s="12"/>
      <c r="B33" s="13">
        <f ca="1">Obliczenia!L33</f>
        <v>2040</v>
      </c>
      <c r="C33" s="37">
        <f ca="1">Wyliczenia.jednostkowe!V64</f>
        <v>50.372765655203821</v>
      </c>
      <c r="D33" s="37">
        <f ca="1">Wyliczenia.jednostkowe!W64</f>
        <v>51.036456199610015</v>
      </c>
      <c r="E33" s="37">
        <f ca="1">Wyliczenia.jednostkowe!X64</f>
        <v>52.989393886057336</v>
      </c>
      <c r="F33" s="37">
        <f ca="1">Wyliczenia.jednostkowe!Y64</f>
        <v>52.385017592246754</v>
      </c>
      <c r="G33" s="37">
        <f ca="1">Wyliczenia.jednostkowe!Z64</f>
        <v>49.742580243507589</v>
      </c>
      <c r="H33" s="37">
        <f ca="1">Wyliczenia.jednostkowe!AA64</f>
        <v>50.942580243507592</v>
      </c>
      <c r="J33" s="12"/>
      <c r="K33" s="13">
        <f t="shared" si="1"/>
        <v>2040</v>
      </c>
      <c r="L33" s="37">
        <f ca="1">Obliczenia!G288</f>
        <v>-807357.01535152562</v>
      </c>
      <c r="M33" s="37">
        <f ca="1">Obliczenia!Q288</f>
        <v>-2482979.6230931999</v>
      </c>
      <c r="N33" s="37">
        <f ca="1">Obliczenia!AA288</f>
        <v>-1261219.1006701859</v>
      </c>
      <c r="O33" s="37">
        <f ca="1">Obliczenia!AK288</f>
        <v>-1345577.5702260039</v>
      </c>
      <c r="P33" s="37">
        <f ca="1">Obliczenia!AU288</f>
        <v>-1413926.3774652933</v>
      </c>
      <c r="Q33" s="37" t="e">
        <f ca="1">Obliczenia!#REF!</f>
        <v>#REF!</v>
      </c>
      <c r="S33" s="12"/>
      <c r="T33" s="13">
        <f t="shared" si="2"/>
        <v>2040</v>
      </c>
      <c r="U33" s="37">
        <f ca="1">Zalozenia!C413-Zalozenia!C306</f>
        <v>66356.550000000047</v>
      </c>
      <c r="V33" s="37">
        <f ca="1">Zalozenia!D413-Zalozenia!D306</f>
        <v>227815.20000000019</v>
      </c>
      <c r="W33" s="37">
        <f ca="1">Zalozenia!E413-Zalozenia!E306</f>
        <v>140987.52000000002</v>
      </c>
      <c r="X33" s="37">
        <f ca="1">Zalozenia!F413-Zalozenia!F306</f>
        <v>150694.74000000022</v>
      </c>
      <c r="Y33" s="37">
        <f ca="1">Zalozenia!G413-Zalozenia!G306</f>
        <v>141291.99000000022</v>
      </c>
      <c r="Z33" s="37" t="e">
        <f ca="1">Zalozenia!#REF!-Zalozenia!#REF!</f>
        <v>#REF!</v>
      </c>
      <c r="AB33" s="12"/>
      <c r="AC33" s="13">
        <f t="shared" si="3"/>
        <v>2040</v>
      </c>
      <c r="AD33" s="37">
        <f t="shared" si="4"/>
        <v>-12.166952853207786</v>
      </c>
      <c r="AE33" s="37">
        <f t="shared" si="5"/>
        <v>-10.899095508522688</v>
      </c>
      <c r="AF33" s="37">
        <f t="shared" si="6"/>
        <v>-8.9456080982925705</v>
      </c>
      <c r="AG33" s="37">
        <f t="shared" si="7"/>
        <v>-8.9291608335234649</v>
      </c>
      <c r="AH33" s="37">
        <f t="shared" si="8"/>
        <v>-10.007123386579034</v>
      </c>
      <c r="AI33" s="37" t="e">
        <f t="shared" si="9"/>
        <v>#REF!</v>
      </c>
    </row>
    <row r="34" spans="1:35">
      <c r="A34" s="12"/>
      <c r="B34" s="13">
        <f ca="1">Obliczenia!L34</f>
        <v>2041</v>
      </c>
      <c r="C34" s="37">
        <f ca="1">Wyliczenia.jednostkowe!V65</f>
        <v>51.525206869876151</v>
      </c>
      <c r="D34" s="37">
        <f ca="1">Wyliczenia.jednostkowe!W65</f>
        <v>52.185520705697698</v>
      </c>
      <c r="E34" s="37">
        <f ca="1">Wyliczenia.jednostkowe!X65</f>
        <v>54.138458392145019</v>
      </c>
      <c r="F34" s="37">
        <f ca="1">Wyliczenia.jednostkowe!Y65</f>
        <v>53.534082098334437</v>
      </c>
      <c r="G34" s="37">
        <f ca="1">Wyliczenia.jednostkowe!Z65</f>
        <v>50.891644749595272</v>
      </c>
      <c r="H34" s="37">
        <f ca="1">Wyliczenia.jednostkowe!AA65</f>
        <v>52.091644749595275</v>
      </c>
      <c r="J34" s="12"/>
      <c r="K34" s="13">
        <f t="shared" si="1"/>
        <v>2041</v>
      </c>
      <c r="L34" s="37">
        <f ca="1">Obliczenia!G289</f>
        <v>-853878.06787868741</v>
      </c>
      <c r="M34" s="37">
        <f ca="1">Obliczenia!Q289</f>
        <v>-2626788.5426956369</v>
      </c>
      <c r="N34" s="37">
        <f ca="1">Obliczenia!AA289</f>
        <v>-1333961.55865712</v>
      </c>
      <c r="O34" s="37">
        <f ca="1">Obliczenia!AK289</f>
        <v>-1424475.8899801464</v>
      </c>
      <c r="P34" s="37">
        <f ca="1">Obliczenia!AU289</f>
        <v>-1504138.8218356266</v>
      </c>
      <c r="Q34" s="37" t="e">
        <f ca="1">Obliczenia!#REF!</f>
        <v>#REF!</v>
      </c>
      <c r="S34" s="12"/>
      <c r="T34" s="13">
        <f t="shared" si="2"/>
        <v>2041</v>
      </c>
      <c r="U34" s="37">
        <f ca="1">Zalozenia!C414-Zalozenia!C307</f>
        <v>66794.747999999905</v>
      </c>
      <c r="V34" s="37">
        <f ca="1">Zalozenia!D414-Zalozenia!D307</f>
        <v>229080.84000000032</v>
      </c>
      <c r="W34" s="37">
        <f ca="1">Zalozenia!E414-Zalozenia!E307</f>
        <v>141683.62199999997</v>
      </c>
      <c r="X34" s="37">
        <f ca="1">Zalozenia!F414-Zalozenia!F307</f>
        <v>151538.89800000004</v>
      </c>
      <c r="Y34" s="37">
        <f ca="1">Zalozenia!G414-Zalozenia!G307</f>
        <v>141992.86799999978</v>
      </c>
      <c r="Z34" s="37" t="e">
        <f ca="1">Zalozenia!#REF!-Zalozenia!#REF!</f>
        <v>#REF!</v>
      </c>
      <c r="AB34" s="12"/>
      <c r="AC34" s="13">
        <f t="shared" si="3"/>
        <v>2041</v>
      </c>
      <c r="AD34" s="37">
        <f t="shared" si="4"/>
        <v>-12.783610889267651</v>
      </c>
      <c r="AE34" s="37">
        <f t="shared" si="5"/>
        <v>-11.466644450472739</v>
      </c>
      <c r="AF34" s="37">
        <f t="shared" si="6"/>
        <v>-9.4150723974089274</v>
      </c>
      <c r="AG34" s="37">
        <f t="shared" si="7"/>
        <v>-9.4000676313493194</v>
      </c>
      <c r="AH34" s="37">
        <f t="shared" si="8"/>
        <v>-10.593058954451353</v>
      </c>
      <c r="AI34" s="37" t="e">
        <f t="shared" si="9"/>
        <v>#REF!</v>
      </c>
    </row>
    <row r="35" spans="1:35">
      <c r="A35" s="12"/>
      <c r="B35" s="13">
        <f ca="1">Obliczenia!L35</f>
        <v>2042</v>
      </c>
      <c r="C35" s="37">
        <f ca="1">Wyliczenia.jednostkowe!V66</f>
        <v>52.706459114915283</v>
      </c>
      <c r="D35" s="37">
        <f ca="1">Wyliczenia.jednostkowe!W66</f>
        <v>53.363311824437574</v>
      </c>
      <c r="E35" s="37">
        <f ca="1">Wyliczenia.jednostkowe!X66</f>
        <v>55.316249510884894</v>
      </c>
      <c r="F35" s="37">
        <f ca="1">Wyliczenia.jednostkowe!Y66</f>
        <v>54.711873217074313</v>
      </c>
      <c r="G35" s="37">
        <f ca="1">Wyliczenia.jednostkowe!Z66</f>
        <v>52.069435868335148</v>
      </c>
      <c r="H35" s="37">
        <f ca="1">Wyliczenia.jednostkowe!AA66</f>
        <v>53.269435868335151</v>
      </c>
      <c r="J35" s="12"/>
      <c r="K35" s="13">
        <f t="shared" si="1"/>
        <v>2042</v>
      </c>
      <c r="L35" s="37">
        <f ca="1">Obliczenia!G290</f>
        <v>-902792.78362410364</v>
      </c>
      <c r="M35" s="37">
        <f ca="1">Obliczenia!Q290</f>
        <v>-2777912.1972333509</v>
      </c>
      <c r="N35" s="37">
        <f ca="1">Obliczenia!AA290</f>
        <v>-1410377.1408060375</v>
      </c>
      <c r="O35" s="37">
        <f ca="1">Obliczenia!AK290</f>
        <v>-1507410.4828516233</v>
      </c>
      <c r="P35" s="37">
        <f ca="1">Obliczenia!AU290</f>
        <v>-1599053.5956787635</v>
      </c>
      <c r="Q35" s="37" t="e">
        <f ca="1">Obliczenia!#REF!</f>
        <v>#REF!</v>
      </c>
      <c r="S35" s="12"/>
      <c r="T35" s="13">
        <f t="shared" si="2"/>
        <v>2042</v>
      </c>
      <c r="U35" s="37">
        <f ca="1">Zalozenia!C415-Zalozenia!C308</f>
        <v>67232.945999999996</v>
      </c>
      <c r="V35" s="37">
        <f ca="1">Zalozenia!D415-Zalozenia!D308</f>
        <v>230346.47999999998</v>
      </c>
      <c r="W35" s="37">
        <f ca="1">Zalozenia!E415-Zalozenia!E308</f>
        <v>142379.72399999993</v>
      </c>
      <c r="X35" s="37">
        <f ca="1">Zalozenia!F415-Zalozenia!F308</f>
        <v>152383.05599999987</v>
      </c>
      <c r="Y35" s="37">
        <f ca="1">Zalozenia!G415-Zalozenia!G308</f>
        <v>142693.74599999981</v>
      </c>
      <c r="Z35" s="37" t="e">
        <f ca="1">Zalozenia!#REF!-Zalozenia!#REF!</f>
        <v>#REF!</v>
      </c>
      <c r="AB35" s="12"/>
      <c r="AC35" s="13">
        <f t="shared" si="3"/>
        <v>2042</v>
      </c>
      <c r="AD35" s="37">
        <f t="shared" si="4"/>
        <v>-13.427833187974594</v>
      </c>
      <c r="AE35" s="37">
        <f t="shared" si="5"/>
        <v>-12.059711948857874</v>
      </c>
      <c r="AF35" s="37">
        <f t="shared" si="6"/>
        <v>-9.9057443095341178</v>
      </c>
      <c r="AG35" s="37">
        <f t="shared" si="7"/>
        <v>-9.8922447312752713</v>
      </c>
      <c r="AH35" s="37">
        <f t="shared" si="8"/>
        <v>-11.206192566272424</v>
      </c>
      <c r="AI35" s="37" t="e">
        <f t="shared" si="9"/>
        <v>#REF!</v>
      </c>
    </row>
    <row r="36" spans="1:35">
      <c r="A36" s="12"/>
      <c r="B36" s="13">
        <f ca="1">Obliczenia!L36</f>
        <v>2043</v>
      </c>
      <c r="C36" s="37">
        <f ca="1">Wyliczenia.jednostkowe!V67</f>
        <v>53.917242666080398</v>
      </c>
      <c r="D36" s="37">
        <f ca="1">Wyliczenia.jednostkowe!W67</f>
        <v>54.57054772114595</v>
      </c>
      <c r="E36" s="37">
        <f ca="1">Wyliczenia.jednostkowe!X67</f>
        <v>56.52348540759327</v>
      </c>
      <c r="F36" s="37">
        <f ca="1">Wyliczenia.jednostkowe!Y67</f>
        <v>55.919109113782689</v>
      </c>
      <c r="G36" s="37">
        <f ca="1">Wyliczenia.jednostkowe!Z67</f>
        <v>53.276671765043524</v>
      </c>
      <c r="H36" s="37">
        <f ca="1">Wyliczenia.jednostkowe!AA67</f>
        <v>54.47667176504352</v>
      </c>
      <c r="J36" s="12"/>
      <c r="K36" s="13">
        <f t="shared" si="1"/>
        <v>2043</v>
      </c>
      <c r="L36" s="37">
        <f ca="1">Obliczenia!G291</f>
        <v>-947890.90937960835</v>
      </c>
      <c r="M36" s="37">
        <f ca="1">Obliczenia!Q291</f>
        <v>-2912827.8979467736</v>
      </c>
      <c r="N36" s="37">
        <f ca="1">Obliczenia!AA291</f>
        <v>-1478636.8898825303</v>
      </c>
      <c r="O36" s="37">
        <f ca="1">Obliczenia!AK291</f>
        <v>-1580985.3858445354</v>
      </c>
      <c r="P36" s="37">
        <f ca="1">Obliczenia!AU291</f>
        <v>-1676211.7284111909</v>
      </c>
      <c r="Q36" s="37" t="e">
        <f ca="1">Obliczenia!#REF!</f>
        <v>#REF!</v>
      </c>
      <c r="S36" s="12"/>
      <c r="T36" s="13">
        <f t="shared" si="2"/>
        <v>2043</v>
      </c>
      <c r="U36" s="37">
        <f ca="1">Zalozenia!C416-Zalozenia!C309</f>
        <v>67671.144000000088</v>
      </c>
      <c r="V36" s="37">
        <f ca="1">Zalozenia!D416-Zalozenia!D309</f>
        <v>231612.12000000011</v>
      </c>
      <c r="W36" s="37">
        <f ca="1">Zalozenia!E416-Zalozenia!E309</f>
        <v>143075.82599999988</v>
      </c>
      <c r="X36" s="37">
        <f ca="1">Zalozenia!F416-Zalozenia!F309</f>
        <v>153227.21399999969</v>
      </c>
      <c r="Y36" s="37">
        <f ca="1">Zalozenia!G416-Zalozenia!G309</f>
        <v>143394.6240000003</v>
      </c>
      <c r="Z36" s="37" t="e">
        <f ca="1">Zalozenia!#REF!-Zalozenia!#REF!</f>
        <v>#REF!</v>
      </c>
      <c r="AB36" s="12"/>
      <c r="AC36" s="13">
        <f t="shared" si="3"/>
        <v>2043</v>
      </c>
      <c r="AD36" s="37">
        <f t="shared" si="4"/>
        <v>-14.007313211368306</v>
      </c>
      <c r="AE36" s="37">
        <f t="shared" si="5"/>
        <v>-12.576318967879454</v>
      </c>
      <c r="AF36" s="37">
        <f t="shared" si="6"/>
        <v>-10.334638151119474</v>
      </c>
      <c r="AG36" s="37">
        <f t="shared" si="7"/>
        <v>-10.317915105110105</v>
      </c>
      <c r="AH36" s="37">
        <f t="shared" si="8"/>
        <v>-11.68950189102757</v>
      </c>
      <c r="AI36" s="37" t="e">
        <f t="shared" si="9"/>
        <v>#REF!</v>
      </c>
    </row>
    <row r="37" spans="1:35">
      <c r="A37" s="43"/>
      <c r="B37" s="13">
        <f ca="1">Obliczenia!L37</f>
        <v>2044</v>
      </c>
      <c r="C37" s="37">
        <f ca="1">Wyliczenia.jednostkowe!V68</f>
        <v>55.15829580602464</v>
      </c>
      <c r="D37" s="37">
        <f ca="1">Wyliczenia.jednostkowe!W68</f>
        <v>55.807964515272033</v>
      </c>
      <c r="E37" s="37">
        <f ca="1">Wyliczenia.jednostkowe!X68</f>
        <v>57.760902201719354</v>
      </c>
      <c r="F37" s="37">
        <f ca="1">Wyliczenia.jednostkowe!Y68</f>
        <v>57.156525907908772</v>
      </c>
      <c r="G37" s="37">
        <f ca="1">Wyliczenia.jednostkowe!Z68</f>
        <v>54.514088559169608</v>
      </c>
      <c r="H37" s="37">
        <f ca="1">Wyliczenia.jednostkowe!AA68</f>
        <v>55.71408855916961</v>
      </c>
      <c r="J37" s="43"/>
      <c r="K37" s="13">
        <f t="shared" si="1"/>
        <v>2044</v>
      </c>
      <c r="L37" s="37">
        <f ca="1">Obliczenia!G292</f>
        <v>-1005397.02463456</v>
      </c>
      <c r="M37" s="37">
        <f ca="1">Obliczenia!Q292</f>
        <v>-3089050.8466722756</v>
      </c>
      <c r="N37" s="37">
        <f ca="1">Obliczenia!AA292</f>
        <v>-1568748.359617186</v>
      </c>
      <c r="O37" s="37">
        <f ca="1">Obliczenia!AK292</f>
        <v>-1678187.0092158034</v>
      </c>
      <c r="P37" s="37">
        <f ca="1">Obliczenia!AU292</f>
        <v>-1787825.1112950868</v>
      </c>
      <c r="Q37" s="37" t="e">
        <f ca="1">Obliczenia!#REF!</f>
        <v>#REF!</v>
      </c>
      <c r="S37" s="43"/>
      <c r="T37" s="13">
        <f t="shared" si="2"/>
        <v>2044</v>
      </c>
      <c r="U37" s="37">
        <f ca="1">Zalozenia!C417-Zalozenia!C310</f>
        <v>68109.341999999946</v>
      </c>
      <c r="V37" s="37">
        <f ca="1">Zalozenia!D417-Zalozenia!D310</f>
        <v>232877.75999999978</v>
      </c>
      <c r="W37" s="37">
        <f ca="1">Zalozenia!E417-Zalozenia!E310</f>
        <v>143771.92800000031</v>
      </c>
      <c r="X37" s="37">
        <f ca="1">Zalozenia!F417-Zalozenia!F310</f>
        <v>154071.37199999997</v>
      </c>
      <c r="Y37" s="37">
        <f ca="1">Zalozenia!G417-Zalozenia!G310</f>
        <v>144095.50199999986</v>
      </c>
      <c r="Z37" s="37" t="e">
        <f ca="1">Zalozenia!#REF!-Zalozenia!#REF!</f>
        <v>#REF!</v>
      </c>
      <c r="AB37" s="43"/>
      <c r="AC37" s="13">
        <f t="shared" si="3"/>
        <v>2044</v>
      </c>
      <c r="AD37" s="37">
        <f t="shared" si="4"/>
        <v>-14.761514281470532</v>
      </c>
      <c r="AE37" s="37">
        <f t="shared" si="5"/>
        <v>-13.264688077866596</v>
      </c>
      <c r="AF37" s="37">
        <f t="shared" si="6"/>
        <v>-10.911367618421188</v>
      </c>
      <c r="AG37" s="37">
        <f t="shared" si="7"/>
        <v>-10.892270169540669</v>
      </c>
      <c r="AH37" s="37">
        <f t="shared" si="8"/>
        <v>-12.40722358769456</v>
      </c>
      <c r="AI37" s="37" t="e">
        <f t="shared" si="9"/>
        <v>#REF!</v>
      </c>
    </row>
  </sheetData>
  <mergeCells count="12">
    <mergeCell ref="S4:Z4"/>
    <mergeCell ref="S5:T5"/>
    <mergeCell ref="S6:T6"/>
    <mergeCell ref="AB4:AI4"/>
    <mergeCell ref="AB5:AC5"/>
    <mergeCell ref="AB6:AC6"/>
    <mergeCell ref="A4:H4"/>
    <mergeCell ref="A5:B5"/>
    <mergeCell ref="A6:B6"/>
    <mergeCell ref="J4:Q4"/>
    <mergeCell ref="J5:K5"/>
    <mergeCell ref="J6:K6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8"/>
  <sheetViews>
    <sheetView topLeftCell="A7" workbookViewId="0">
      <selection activeCell="H18" sqref="H18"/>
    </sheetView>
  </sheetViews>
  <sheetFormatPr defaultRowHeight="10.5"/>
  <cols>
    <col min="1" max="1" width="9.140625" style="4"/>
    <col min="2" max="2" width="12.5703125" style="4" customWidth="1"/>
    <col min="3" max="4" width="14.85546875" style="4" customWidth="1"/>
    <col min="5" max="5" width="15.7109375" style="4" customWidth="1"/>
    <col min="6" max="13" width="14.85546875" style="4" customWidth="1"/>
    <col min="14" max="16" width="9.140625" style="4"/>
    <col min="17" max="17" width="9.28515625" style="4" bestFit="1" customWidth="1"/>
    <col min="18" max="18" width="10.140625" style="4" bestFit="1" customWidth="1"/>
    <col min="19" max="19" width="11" style="4" bestFit="1" customWidth="1"/>
    <col min="20" max="16384" width="9.140625" style="4"/>
  </cols>
  <sheetData>
    <row r="1" spans="1:20" s="90" customFormat="1" ht="15" customHeight="1">
      <c r="A1" s="91" t="s">
        <v>225</v>
      </c>
    </row>
    <row r="3" spans="1:20" ht="21">
      <c r="B3" s="86" t="s">
        <v>224</v>
      </c>
      <c r="C3" s="98" t="s">
        <v>223</v>
      </c>
      <c r="D3" s="98" t="s">
        <v>214</v>
      </c>
      <c r="E3" s="98" t="s">
        <v>215</v>
      </c>
      <c r="F3" s="98" t="s">
        <v>216</v>
      </c>
      <c r="G3" s="98" t="s">
        <v>217</v>
      </c>
      <c r="H3" s="98" t="s">
        <v>218</v>
      </c>
      <c r="I3" s="98" t="s">
        <v>219</v>
      </c>
      <c r="J3" s="98" t="s">
        <v>220</v>
      </c>
      <c r="K3" s="98" t="s">
        <v>221</v>
      </c>
      <c r="L3" s="98" t="s">
        <v>222</v>
      </c>
      <c r="M3" s="98" t="s">
        <v>169</v>
      </c>
    </row>
    <row r="4" spans="1:20" ht="21">
      <c r="B4" s="87" t="s">
        <v>212</v>
      </c>
      <c r="C4" s="88">
        <v>734965.48200000008</v>
      </c>
      <c r="D4" s="89">
        <v>3.2973561729769796</v>
      </c>
      <c r="E4" s="89">
        <v>4.0606890943399341</v>
      </c>
      <c r="F4" s="89">
        <v>3.2655790830191753</v>
      </c>
      <c r="G4" s="89">
        <v>3.1669183488046633</v>
      </c>
      <c r="H4" s="89">
        <v>6.816829822333613</v>
      </c>
      <c r="I4" s="89">
        <v>2.7555316814523079</v>
      </c>
      <c r="J4" s="89">
        <v>1.3150808316486899</v>
      </c>
      <c r="K4" s="89">
        <v>1.2049359328758047</v>
      </c>
      <c r="L4" s="89">
        <v>0.44169148560034438</v>
      </c>
      <c r="M4" s="89">
        <f>SUM(D4:L4)</f>
        <v>26.324612453051515</v>
      </c>
    </row>
    <row r="5" spans="1:20" ht="21">
      <c r="B5" s="87" t="s">
        <v>213</v>
      </c>
      <c r="C5" s="88">
        <v>4749231.3790000016</v>
      </c>
      <c r="D5" s="89">
        <v>5.6055054940608651</v>
      </c>
      <c r="E5" s="89">
        <v>4.0477363380581473</v>
      </c>
      <c r="F5" s="89">
        <v>3.2655790830191753</v>
      </c>
      <c r="G5" s="89">
        <v>3.1669183488046633</v>
      </c>
      <c r="H5" s="89">
        <v>6.816829822333613</v>
      </c>
      <c r="I5" s="89">
        <v>2.7555316814523079</v>
      </c>
      <c r="J5" s="89">
        <v>1.3150808316486899</v>
      </c>
      <c r="K5" s="89">
        <v>1.2049359328758047</v>
      </c>
      <c r="L5" s="89">
        <v>0.44169148560034438</v>
      </c>
      <c r="M5" s="89">
        <f>SUM(D5:L5)</f>
        <v>28.619809017853612</v>
      </c>
    </row>
    <row r="7" spans="1:20">
      <c r="B7" s="86" t="s">
        <v>226</v>
      </c>
      <c r="C7" s="86" t="s">
        <v>223</v>
      </c>
      <c r="D7" s="86" t="s">
        <v>214</v>
      </c>
      <c r="E7" s="86" t="s">
        <v>215</v>
      </c>
      <c r="F7" s="86" t="s">
        <v>216</v>
      </c>
      <c r="G7" s="86" t="s">
        <v>217</v>
      </c>
      <c r="H7" s="86" t="s">
        <v>218</v>
      </c>
      <c r="I7" s="86" t="s">
        <v>219</v>
      </c>
      <c r="J7" s="86" t="s">
        <v>220</v>
      </c>
      <c r="K7" s="86" t="s">
        <v>221</v>
      </c>
      <c r="L7" s="86" t="s">
        <v>222</v>
      </c>
      <c r="M7" s="86" t="s">
        <v>169</v>
      </c>
    </row>
    <row r="8" spans="1:20" ht="21">
      <c r="B8" s="87" t="s">
        <v>212</v>
      </c>
      <c r="C8" s="89">
        <v>641551.46100000001</v>
      </c>
      <c r="D8" s="89">
        <v>5.9612729840208427</v>
      </c>
      <c r="E8" s="89">
        <v>4.3697263063711116</v>
      </c>
      <c r="F8" s="89">
        <v>3.2599790757721481</v>
      </c>
      <c r="G8" s="89">
        <v>3.0218274237318541</v>
      </c>
      <c r="H8" s="89">
        <v>5.1407792455992176</v>
      </c>
      <c r="I8" s="89">
        <v>3.002814977179137</v>
      </c>
      <c r="J8" s="89">
        <v>1.5289925036041594</v>
      </c>
      <c r="K8" s="89">
        <v>1.7319088335202848</v>
      </c>
      <c r="L8" s="89">
        <v>0</v>
      </c>
      <c r="M8" s="89">
        <f>SUM(D8:L8)</f>
        <v>28.017301349798753</v>
      </c>
    </row>
    <row r="9" spans="1:20" ht="21">
      <c r="B9" s="87" t="s">
        <v>213</v>
      </c>
      <c r="C9" s="89">
        <v>5151359.5490000006</v>
      </c>
      <c r="D9" s="89">
        <v>6.3668680000287834</v>
      </c>
      <c r="E9" s="89">
        <v>4.3557877854576468</v>
      </c>
      <c r="F9" s="89">
        <v>3.2599790757721481</v>
      </c>
      <c r="G9" s="89">
        <v>3.0218274237318541</v>
      </c>
      <c r="H9" s="89">
        <v>5.1407792455992176</v>
      </c>
      <c r="I9" s="89">
        <v>3.002814977179137</v>
      </c>
      <c r="J9" s="89">
        <v>1.5289925036041594</v>
      </c>
      <c r="K9" s="89">
        <v>1.7319088335202848</v>
      </c>
      <c r="L9" s="89">
        <v>0</v>
      </c>
      <c r="M9" s="89">
        <f>SUM(D9:L9)</f>
        <v>28.408957844893234</v>
      </c>
    </row>
    <row r="10" spans="1:20" ht="42">
      <c r="P10" s="86" t="s">
        <v>303</v>
      </c>
      <c r="Q10" s="86"/>
      <c r="R10" s="98" t="s">
        <v>305</v>
      </c>
      <c r="S10" s="98" t="s">
        <v>304</v>
      </c>
      <c r="T10" s="104" t="s">
        <v>306</v>
      </c>
    </row>
    <row r="11" spans="1:20">
      <c r="B11" s="86" t="s">
        <v>259</v>
      </c>
      <c r="C11" s="86" t="s">
        <v>223</v>
      </c>
      <c r="D11" s="86" t="s">
        <v>214</v>
      </c>
      <c r="E11" s="86" t="s">
        <v>215</v>
      </c>
      <c r="F11" s="86" t="s">
        <v>216</v>
      </c>
      <c r="G11" s="86" t="s">
        <v>217</v>
      </c>
      <c r="H11" s="86" t="s">
        <v>218</v>
      </c>
      <c r="I11" s="86" t="s">
        <v>219</v>
      </c>
      <c r="J11" s="86" t="s">
        <v>220</v>
      </c>
      <c r="K11" s="86" t="s">
        <v>221</v>
      </c>
      <c r="L11" s="86" t="s">
        <v>222</v>
      </c>
      <c r="M11" s="86" t="s">
        <v>169</v>
      </c>
      <c r="P11" s="86" t="s">
        <v>301</v>
      </c>
      <c r="Q11" s="89">
        <f>S11/R11</f>
        <v>4.7977420457981701</v>
      </c>
      <c r="R11" s="89">
        <v>1437326.6159999999</v>
      </c>
      <c r="S11" s="89">
        <v>6895922.3391280007</v>
      </c>
      <c r="T11" s="115">
        <f>ROUND(Q11/Q12,4)</f>
        <v>1.0032000000000001</v>
      </c>
    </row>
    <row r="12" spans="1:20" ht="21">
      <c r="B12" s="87" t="s">
        <v>212</v>
      </c>
      <c r="C12" s="88">
        <f>C4+C8</f>
        <v>1376516.943</v>
      </c>
      <c r="D12" s="89">
        <f>($C4*D4+$C8*D8)/($C4+$C8)</f>
        <v>4.5389244157789514</v>
      </c>
      <c r="E12" s="89">
        <f t="shared" ref="E12:L12" si="0">($C4*E4+$C8*E8)/($C4+$C8)</f>
        <v>4.2047216657443016</v>
      </c>
      <c r="F12" s="89">
        <f>($C4*F4+$C8*F8)/($C4+$C8)</f>
        <v>3.2629690949262495</v>
      </c>
      <c r="G12" s="89">
        <f>($C4*G4+$C8*G8)/($C4+$C8)</f>
        <v>3.099296010095606</v>
      </c>
      <c r="H12" s="89">
        <f t="shared" si="0"/>
        <v>6.0356751103034219</v>
      </c>
      <c r="I12" s="89">
        <f t="shared" si="0"/>
        <v>2.8707826854164797</v>
      </c>
      <c r="J12" s="89">
        <f t="shared" si="0"/>
        <v>1.4147783663327831</v>
      </c>
      <c r="K12" s="89">
        <f t="shared" si="0"/>
        <v>1.450541507173392</v>
      </c>
      <c r="L12" s="89">
        <f t="shared" si="0"/>
        <v>0.23583290947516741</v>
      </c>
      <c r="M12" s="89">
        <f>SUM(D12:L12)</f>
        <v>27.11352176524635</v>
      </c>
      <c r="P12" s="86" t="s">
        <v>302</v>
      </c>
      <c r="Q12" s="89">
        <f>S12/R12</f>
        <v>4.7824831486134292</v>
      </c>
      <c r="R12" s="89">
        <v>2140145.83</v>
      </c>
      <c r="S12" s="89">
        <v>10235211.3675503</v>
      </c>
      <c r="T12" s="115">
        <v>1</v>
      </c>
    </row>
    <row r="13" spans="1:20" ht="21">
      <c r="B13" s="87" t="s">
        <v>213</v>
      </c>
      <c r="C13" s="88">
        <f>C5+C9</f>
        <v>9900590.9280000031</v>
      </c>
      <c r="D13" s="89">
        <f>($C5*D5+$C9*D9)/($C5+$C9)</f>
        <v>6.0016487186310661</v>
      </c>
      <c r="E13" s="89">
        <f t="shared" ref="E13:L13" si="1">($C5*E5+$C9*E9)/($C5+$C9)</f>
        <v>4.2080180602992696</v>
      </c>
      <c r="F13" s="89">
        <f t="shared" si="1"/>
        <v>3.2626653528169847</v>
      </c>
      <c r="G13" s="89">
        <f>($C5*G5+$C9*G9)/($C5+$C9)</f>
        <v>3.0914263374911481</v>
      </c>
      <c r="H13" s="89">
        <f t="shared" si="1"/>
        <v>5.9447668105541922</v>
      </c>
      <c r="I13" s="89">
        <f t="shared" si="1"/>
        <v>2.8841952305287588</v>
      </c>
      <c r="J13" s="89">
        <f t="shared" si="1"/>
        <v>1.4263808481814364</v>
      </c>
      <c r="K13" s="89">
        <f t="shared" si="1"/>
        <v>1.4791243023924052</v>
      </c>
      <c r="L13" s="89">
        <f t="shared" si="1"/>
        <v>0.21187574342838075</v>
      </c>
      <c r="M13" s="89">
        <f>SUM(D13:L13)</f>
        <v>28.510101404323642</v>
      </c>
    </row>
    <row r="15" spans="1:20">
      <c r="D15" s="4" t="s">
        <v>189</v>
      </c>
      <c r="J15" s="4" t="s">
        <v>190</v>
      </c>
    </row>
    <row r="16" spans="1:20">
      <c r="D16" s="4" t="s">
        <v>235</v>
      </c>
      <c r="E16" s="4" t="s">
        <v>238</v>
      </c>
      <c r="F16" s="4" t="s">
        <v>240</v>
      </c>
      <c r="J16" s="4" t="s">
        <v>235</v>
      </c>
      <c r="K16" s="4" t="s">
        <v>238</v>
      </c>
      <c r="L16" s="4" t="s">
        <v>240</v>
      </c>
    </row>
    <row r="17" spans="2:27">
      <c r="B17" s="4" t="s">
        <v>227</v>
      </c>
      <c r="D17" s="4">
        <v>3</v>
      </c>
      <c r="E17" s="4">
        <v>51.375</v>
      </c>
      <c r="F17" s="23">
        <f ca="1">Zalozenia!L113</f>
        <v>4.9800000000000004</v>
      </c>
      <c r="H17" s="4" t="s">
        <v>241</v>
      </c>
      <c r="J17" s="4">
        <v>4</v>
      </c>
      <c r="K17" s="4">
        <v>45.608999999999995</v>
      </c>
      <c r="L17" s="23">
        <f ca="1">Zalozenia!M113</f>
        <v>6.85</v>
      </c>
    </row>
    <row r="18" spans="2:27">
      <c r="B18" s="4" t="s">
        <v>239</v>
      </c>
      <c r="D18" s="4">
        <v>2</v>
      </c>
      <c r="E18" s="4">
        <f>112.748-67.769</f>
        <v>44.978999999999999</v>
      </c>
      <c r="F18" s="23">
        <f ca="1">Zalozenia!D113</f>
        <v>3.47</v>
      </c>
      <c r="H18" s="4" t="s">
        <v>242</v>
      </c>
      <c r="J18" s="4">
        <v>2</v>
      </c>
      <c r="K18" s="4">
        <v>62.134999999999991</v>
      </c>
      <c r="L18" s="23">
        <f ca="1">Zalozenia!K113</f>
        <v>3.78</v>
      </c>
    </row>
    <row r="19" spans="2:27">
      <c r="F19" s="4">
        <f>(F17*E17+F18*E18)/(E17+E18)</f>
        <v>4.275117068310605</v>
      </c>
      <c r="H19" s="4" t="s">
        <v>243</v>
      </c>
      <c r="J19" s="4">
        <v>3</v>
      </c>
      <c r="K19" s="4">
        <v>6.5220000000000198</v>
      </c>
      <c r="L19" s="23">
        <f ca="1">Zalozenia!L113</f>
        <v>4.9800000000000004</v>
      </c>
      <c r="S19" s="4" t="s">
        <v>193</v>
      </c>
    </row>
    <row r="20" spans="2:27">
      <c r="L20" s="4">
        <f>(K17*L17+K18*L18+K19*L19)/(SUM(K17:K19))</f>
        <v>5.0738759561024276</v>
      </c>
      <c r="S20" s="4" t="s">
        <v>235</v>
      </c>
      <c r="T20" s="4" t="s">
        <v>238</v>
      </c>
      <c r="U20" s="4" t="s">
        <v>240</v>
      </c>
    </row>
    <row r="21" spans="2:27" ht="12.75">
      <c r="D21" s="4" t="s">
        <v>191</v>
      </c>
      <c r="Q21" s="4" t="s">
        <v>257</v>
      </c>
      <c r="S21" s="4">
        <v>2</v>
      </c>
      <c r="T21" s="96">
        <f>[1]wykaz_pas!$G$742-[1]wykaz_pas!$F$740</f>
        <v>67.932999999999993</v>
      </c>
      <c r="U21" s="23">
        <f ca="1">Zalozenia!K113</f>
        <v>3.78</v>
      </c>
      <c r="W21" s="93" t="s">
        <v>281</v>
      </c>
      <c r="X21" s="94">
        <v>-0.873</v>
      </c>
      <c r="Y21" s="94">
        <v>2.8039999999999998</v>
      </c>
      <c r="Z21" s="95" t="s">
        <v>247</v>
      </c>
      <c r="AA21" s="95">
        <v>2</v>
      </c>
    </row>
    <row r="22" spans="2:27" ht="12.75">
      <c r="D22" s="4" t="s">
        <v>235</v>
      </c>
      <c r="E22" s="4" t="s">
        <v>238</v>
      </c>
      <c r="F22" s="4" t="s">
        <v>240</v>
      </c>
      <c r="H22" s="93" t="s">
        <v>246</v>
      </c>
      <c r="I22" s="94">
        <v>253.29300000000001</v>
      </c>
      <c r="J22" s="94">
        <v>262.72899999999998</v>
      </c>
      <c r="K22" s="95" t="s">
        <v>247</v>
      </c>
      <c r="L22" s="95">
        <v>4</v>
      </c>
      <c r="M22" s="23">
        <f ca="1">Zalozenia!M113</f>
        <v>6.85</v>
      </c>
      <c r="N22" s="96">
        <f>J22-I22</f>
        <v>9.4359999999999786</v>
      </c>
      <c r="O22" s="4">
        <f>N22*M22</f>
        <v>64.636599999999845</v>
      </c>
      <c r="Q22" s="4" t="s">
        <v>258</v>
      </c>
      <c r="S22" s="4">
        <v>2</v>
      </c>
      <c r="T22" s="4">
        <f>[1]wykaz_pas!$G$901-[1]wykaz_pas!$F$899</f>
        <v>42.712000000000003</v>
      </c>
      <c r="U22" s="23">
        <f ca="1">Zalozenia!K113</f>
        <v>3.78</v>
      </c>
      <c r="W22" s="93" t="s">
        <v>282</v>
      </c>
      <c r="X22" s="94">
        <v>2.8039999999999998</v>
      </c>
      <c r="Y22" s="94">
        <v>4.3499999999999996</v>
      </c>
      <c r="Z22" s="95" t="s">
        <v>247</v>
      </c>
      <c r="AA22" s="95">
        <v>1</v>
      </c>
    </row>
    <row r="23" spans="2:27" ht="12.75">
      <c r="B23" s="4" t="s">
        <v>244</v>
      </c>
      <c r="D23" s="4">
        <v>2</v>
      </c>
      <c r="E23" s="4">
        <f>309.155-304.656</f>
        <v>4.4989999999999668</v>
      </c>
      <c r="F23" s="23">
        <f ca="1">Zalozenia!K113</f>
        <v>3.78</v>
      </c>
      <c r="H23" s="93" t="s">
        <v>248</v>
      </c>
      <c r="I23" s="94">
        <v>262.72899999999998</v>
      </c>
      <c r="J23" s="94">
        <v>291.61799999999999</v>
      </c>
      <c r="K23" s="95" t="s">
        <v>247</v>
      </c>
      <c r="L23" s="95">
        <v>5</v>
      </c>
      <c r="M23" s="23">
        <f ca="1">Zalozenia!N113</f>
        <v>8.36</v>
      </c>
      <c r="N23" s="96">
        <f>J23-I23</f>
        <v>28.88900000000001</v>
      </c>
      <c r="O23" s="4">
        <f>N23*M23</f>
        <v>241.51204000000007</v>
      </c>
      <c r="U23" s="23">
        <f>(T21*U21+T22*U22)/SUM(T21:T22)</f>
        <v>3.7799999999999994</v>
      </c>
      <c r="W23" s="93" t="s">
        <v>283</v>
      </c>
      <c r="X23" s="94">
        <v>4.3499999999999996</v>
      </c>
      <c r="Y23" s="94">
        <v>9.2379999999999995</v>
      </c>
      <c r="Z23" s="95" t="s">
        <v>247</v>
      </c>
      <c r="AA23" s="95">
        <v>1</v>
      </c>
    </row>
    <row r="24" spans="2:27" ht="12.75">
      <c r="D24" s="4">
        <v>4</v>
      </c>
      <c r="E24" s="4">
        <f>362.041-309.155</f>
        <v>52.886000000000024</v>
      </c>
      <c r="F24" s="23">
        <f ca="1">Zalozenia!M113</f>
        <v>6.85</v>
      </c>
      <c r="H24" s="93" t="s">
        <v>249</v>
      </c>
      <c r="I24" s="94">
        <v>291.61799999999999</v>
      </c>
      <c r="J24" s="94">
        <v>294.11200000000002</v>
      </c>
      <c r="K24" s="95" t="s">
        <v>247</v>
      </c>
      <c r="L24" s="95">
        <v>4</v>
      </c>
      <c r="M24" s="23">
        <f ca="1">Zalozenia!M113</f>
        <v>6.85</v>
      </c>
      <c r="N24" s="96">
        <f>J24-I24</f>
        <v>2.4940000000000282</v>
      </c>
      <c r="O24" s="4">
        <f>N24*M24</f>
        <v>17.083900000000192</v>
      </c>
      <c r="W24" s="93" t="s">
        <v>284</v>
      </c>
      <c r="X24" s="94">
        <v>9.2379999999999995</v>
      </c>
      <c r="Y24" s="94">
        <v>11.798</v>
      </c>
      <c r="Z24" s="95" t="s">
        <v>247</v>
      </c>
      <c r="AA24" s="95">
        <v>2</v>
      </c>
    </row>
    <row r="25" spans="2:27" ht="12.75">
      <c r="B25" s="4" t="s">
        <v>245</v>
      </c>
      <c r="E25" s="4">
        <f>304.656-253.293</f>
        <v>51.363</v>
      </c>
      <c r="F25" s="4">
        <f>O27</f>
        <v>7.4932657749742031</v>
      </c>
      <c r="H25" s="93" t="s">
        <v>250</v>
      </c>
      <c r="I25" s="94">
        <v>294.11200000000002</v>
      </c>
      <c r="J25" s="94">
        <v>298.99700000000001</v>
      </c>
      <c r="K25" s="95" t="s">
        <v>247</v>
      </c>
      <c r="L25" s="95">
        <v>4</v>
      </c>
      <c r="M25" s="23">
        <f ca="1">Zalozenia!M113</f>
        <v>6.85</v>
      </c>
      <c r="N25" s="96">
        <f>J25-I25</f>
        <v>4.8849999999999909</v>
      </c>
      <c r="O25" s="4">
        <f>N25*M25</f>
        <v>33.462249999999933</v>
      </c>
    </row>
    <row r="26" spans="2:27" ht="12.75">
      <c r="F26" s="4">
        <f>(E23*F23+E24*F24+E25*F25)/SUM(E23:E25)</f>
        <v>7.0268136425497483</v>
      </c>
      <c r="H26" s="93" t="s">
        <v>251</v>
      </c>
      <c r="I26" s="94">
        <v>298.99700000000001</v>
      </c>
      <c r="J26" s="94">
        <v>304.65600000000001</v>
      </c>
      <c r="K26" s="95" t="s">
        <v>247</v>
      </c>
      <c r="L26" s="95">
        <v>3</v>
      </c>
      <c r="M26" s="23">
        <f ca="1">Zalozenia!L113</f>
        <v>4.9800000000000004</v>
      </c>
      <c r="N26" s="96">
        <f>J26-I26</f>
        <v>5.6589999999999918</v>
      </c>
      <c r="O26" s="4">
        <f>N26*M26</f>
        <v>28.181819999999963</v>
      </c>
    </row>
    <row r="27" spans="2:27">
      <c r="N27" s="96">
        <f>SUM(N22:N26)</f>
        <v>51.363</v>
      </c>
      <c r="O27" s="4">
        <f>SUM(O22:O26)/N27</f>
        <v>7.4932657749742031</v>
      </c>
    </row>
    <row r="28" spans="2:27" ht="15.75">
      <c r="B28" s="92" t="s">
        <v>229</v>
      </c>
      <c r="J28" s="4" t="s">
        <v>192</v>
      </c>
    </row>
    <row r="29" spans="2:27" ht="15.75">
      <c r="B29" s="92" t="s">
        <v>230</v>
      </c>
      <c r="J29" s="4" t="s">
        <v>235</v>
      </c>
      <c r="K29" s="4" t="s">
        <v>238</v>
      </c>
      <c r="L29" s="4" t="s">
        <v>240</v>
      </c>
      <c r="N29" s="93" t="s">
        <v>252</v>
      </c>
      <c r="O29" s="94">
        <v>0</v>
      </c>
      <c r="P29" s="94">
        <v>2.8980000000000001</v>
      </c>
      <c r="Q29" s="95" t="s">
        <v>247</v>
      </c>
      <c r="R29" s="95">
        <v>3</v>
      </c>
      <c r="S29" s="23">
        <f ca="1">Zalozenia!L113</f>
        <v>4.9800000000000004</v>
      </c>
      <c r="T29" s="96">
        <f>P29-O29</f>
        <v>2.8980000000000001</v>
      </c>
      <c r="U29" s="4">
        <f>T29*S29</f>
        <v>14.432040000000002</v>
      </c>
    </row>
    <row r="30" spans="2:27" ht="15.75">
      <c r="B30" s="92" t="s">
        <v>231</v>
      </c>
      <c r="H30" s="4" t="s">
        <v>245</v>
      </c>
      <c r="J30" s="4" t="s">
        <v>198</v>
      </c>
      <c r="K30" s="96">
        <f>N27</f>
        <v>51.363</v>
      </c>
      <c r="L30" s="23">
        <f>O27</f>
        <v>7.4932657749742031</v>
      </c>
      <c r="N30" s="93" t="s">
        <v>253</v>
      </c>
      <c r="O30" s="94">
        <v>2.8980000000000001</v>
      </c>
      <c r="P30" s="94">
        <v>12.909000000000001</v>
      </c>
      <c r="Q30" s="95" t="s">
        <v>247</v>
      </c>
      <c r="R30" s="95">
        <v>4</v>
      </c>
      <c r="S30" s="23">
        <f ca="1">Zalozenia!M113</f>
        <v>6.85</v>
      </c>
      <c r="T30" s="96">
        <f>P30-O30</f>
        <v>10.011000000000001</v>
      </c>
      <c r="U30" s="4">
        <f>T30*S30</f>
        <v>68.57535</v>
      </c>
    </row>
    <row r="31" spans="2:27" ht="15.75">
      <c r="B31" s="92" t="s">
        <v>232</v>
      </c>
      <c r="H31" s="4" t="s">
        <v>256</v>
      </c>
      <c r="J31" s="4" t="s">
        <v>198</v>
      </c>
      <c r="K31" s="4">
        <v>51.109000000000002</v>
      </c>
      <c r="L31" s="23">
        <f>U33</f>
        <v>5.3462871509910199</v>
      </c>
      <c r="N31" s="93" t="s">
        <v>254</v>
      </c>
      <c r="O31" s="94">
        <v>12.909000000000001</v>
      </c>
      <c r="P31" s="94">
        <v>33.04</v>
      </c>
      <c r="Q31" s="95" t="s">
        <v>247</v>
      </c>
      <c r="R31" s="95">
        <v>3</v>
      </c>
      <c r="S31" s="23">
        <f ca="1">Zalozenia!L113</f>
        <v>4.9800000000000004</v>
      </c>
      <c r="T31" s="96">
        <f>P31-O31</f>
        <v>20.131</v>
      </c>
      <c r="U31" s="4">
        <f>T31*S31</f>
        <v>100.25238000000002</v>
      </c>
    </row>
    <row r="32" spans="2:27" ht="15.75">
      <c r="B32" s="92" t="s">
        <v>233</v>
      </c>
      <c r="L32" s="23">
        <f>(K30*L30+K31*L31)/SUM(K30:K31)</f>
        <v>6.4224373487391677</v>
      </c>
      <c r="N32" s="93" t="s">
        <v>255</v>
      </c>
      <c r="O32" s="94">
        <v>33.04</v>
      </c>
      <c r="P32" s="94">
        <v>51.109000000000002</v>
      </c>
      <c r="Q32" s="95" t="s">
        <v>247</v>
      </c>
      <c r="R32" s="95">
        <v>3</v>
      </c>
      <c r="S32" s="23">
        <f ca="1">Zalozenia!L113</f>
        <v>4.9800000000000004</v>
      </c>
      <c r="T32" s="96">
        <f>P32-O32</f>
        <v>18.069000000000003</v>
      </c>
      <c r="U32" s="4">
        <f>T32*S32</f>
        <v>89.983620000000016</v>
      </c>
    </row>
    <row r="33" spans="2:27" ht="15.75">
      <c r="B33" s="92" t="s">
        <v>234</v>
      </c>
      <c r="T33" s="96">
        <f>SUM(T29:T32)</f>
        <v>51.109000000000002</v>
      </c>
      <c r="U33" s="4">
        <f>SUM(U29:U32)/T33</f>
        <v>5.3462871509910199</v>
      </c>
    </row>
    <row r="34" spans="2:27" ht="15.75">
      <c r="B34" s="92"/>
    </row>
    <row r="35" spans="2:27">
      <c r="D35" s="4" t="s">
        <v>228</v>
      </c>
      <c r="M35" s="4" t="s">
        <v>236</v>
      </c>
      <c r="V35" s="4" t="s">
        <v>237</v>
      </c>
    </row>
    <row r="36" spans="2:27">
      <c r="B36" s="134" t="s">
        <v>5</v>
      </c>
      <c r="C36" s="134"/>
      <c r="D36" s="6">
        <v>1</v>
      </c>
      <c r="E36" s="6">
        <v>2</v>
      </c>
      <c r="F36" s="6">
        <v>3</v>
      </c>
      <c r="G36" s="6"/>
      <c r="H36" s="6"/>
      <c r="I36" s="6"/>
      <c r="K36" s="134" t="s">
        <v>5</v>
      </c>
      <c r="L36" s="134"/>
      <c r="M36" s="6">
        <v>1</v>
      </c>
      <c r="N36" s="6">
        <v>2</v>
      </c>
      <c r="O36" s="6">
        <v>3</v>
      </c>
      <c r="P36" s="6"/>
      <c r="Q36" s="6"/>
      <c r="R36" s="6"/>
      <c r="T36" s="134" t="s">
        <v>5</v>
      </c>
      <c r="U36" s="134"/>
      <c r="V36" s="6">
        <v>1</v>
      </c>
      <c r="W36" s="6">
        <v>2</v>
      </c>
      <c r="X36" s="6">
        <v>3</v>
      </c>
      <c r="Y36" s="6"/>
      <c r="Z36" s="6"/>
      <c r="AA36" s="6"/>
    </row>
    <row r="37" spans="2:27">
      <c r="B37" s="134" t="s">
        <v>6</v>
      </c>
      <c r="C37" s="134"/>
      <c r="D37" s="35" t="s">
        <v>204</v>
      </c>
      <c r="E37" s="35" t="s">
        <v>205</v>
      </c>
      <c r="F37" s="35" t="s">
        <v>206</v>
      </c>
      <c r="G37" s="35" t="s">
        <v>207</v>
      </c>
      <c r="H37" s="35" t="s">
        <v>208</v>
      </c>
      <c r="I37" s="35" t="s">
        <v>209</v>
      </c>
      <c r="K37" s="134" t="s">
        <v>6</v>
      </c>
      <c r="L37" s="134"/>
      <c r="M37" s="35" t="s">
        <v>204</v>
      </c>
      <c r="N37" s="35" t="s">
        <v>205</v>
      </c>
      <c r="O37" s="35" t="s">
        <v>206</v>
      </c>
      <c r="P37" s="35" t="s">
        <v>207</v>
      </c>
      <c r="Q37" s="35" t="s">
        <v>208</v>
      </c>
      <c r="R37" s="35" t="s">
        <v>209</v>
      </c>
      <c r="T37" s="134" t="s">
        <v>6</v>
      </c>
      <c r="U37" s="134"/>
      <c r="V37" s="35" t="s">
        <v>204</v>
      </c>
      <c r="W37" s="35" t="s">
        <v>205</v>
      </c>
      <c r="X37" s="35" t="s">
        <v>206</v>
      </c>
      <c r="Y37" s="35" t="s">
        <v>207</v>
      </c>
      <c r="Z37" s="35" t="s">
        <v>208</v>
      </c>
      <c r="AA37" s="35" t="s">
        <v>209</v>
      </c>
    </row>
    <row r="38" spans="2:27" ht="21">
      <c r="B38" s="8"/>
      <c r="C38" s="9" t="s">
        <v>22</v>
      </c>
      <c r="D38" s="36" t="s">
        <v>38</v>
      </c>
      <c r="E38" s="36" t="s">
        <v>38</v>
      </c>
      <c r="F38" s="36" t="s">
        <v>38</v>
      </c>
      <c r="G38" s="36" t="s">
        <v>38</v>
      </c>
      <c r="H38" s="36" t="s">
        <v>38</v>
      </c>
      <c r="I38" s="36" t="s">
        <v>38</v>
      </c>
      <c r="K38" s="8"/>
      <c r="L38" s="9" t="s">
        <v>22</v>
      </c>
      <c r="M38" s="36" t="s">
        <v>38</v>
      </c>
      <c r="N38" s="36" t="s">
        <v>38</v>
      </c>
      <c r="O38" s="36" t="s">
        <v>38</v>
      </c>
      <c r="P38" s="36" t="s">
        <v>38</v>
      </c>
      <c r="Q38" s="36" t="s">
        <v>38</v>
      </c>
      <c r="R38" s="36" t="s">
        <v>38</v>
      </c>
      <c r="T38" s="8"/>
      <c r="U38" s="9" t="s">
        <v>22</v>
      </c>
      <c r="V38" s="36" t="s">
        <v>38</v>
      </c>
      <c r="W38" s="36" t="s">
        <v>38</v>
      </c>
      <c r="X38" s="36" t="s">
        <v>38</v>
      </c>
      <c r="Y38" s="36" t="s">
        <v>38</v>
      </c>
      <c r="Z38" s="36" t="s">
        <v>38</v>
      </c>
      <c r="AA38" s="36" t="s">
        <v>38</v>
      </c>
    </row>
    <row r="39" spans="2:27">
      <c r="B39" s="12"/>
      <c r="C39" s="13">
        <v>2015</v>
      </c>
      <c r="D39" s="37">
        <f>$F$19</f>
        <v>4.275117068310605</v>
      </c>
      <c r="E39" s="37">
        <f>$L$20</f>
        <v>5.0738759561024276</v>
      </c>
      <c r="F39" s="37">
        <f>$F$26</f>
        <v>7.0268136425497483</v>
      </c>
      <c r="G39" s="37">
        <f>$L$32</f>
        <v>6.4224373487391677</v>
      </c>
      <c r="H39" s="37">
        <f>$U$23</f>
        <v>3.7799999999999994</v>
      </c>
      <c r="I39" s="37">
        <f ca="1">Zalozenia!$L$113</f>
        <v>4.9800000000000004</v>
      </c>
      <c r="K39" s="12"/>
      <c r="L39" s="13">
        <v>2015</v>
      </c>
      <c r="M39" s="37">
        <f>M12-D12</f>
        <v>22.5745973494674</v>
      </c>
      <c r="N39" s="37">
        <f>$M$13-$D$13</f>
        <v>22.508452685692575</v>
      </c>
      <c r="O39" s="37">
        <f>$M$13-$D$13</f>
        <v>22.508452685692575</v>
      </c>
      <c r="P39" s="37">
        <f>$M$13-$D$13</f>
        <v>22.508452685692575</v>
      </c>
      <c r="Q39" s="37">
        <f>$M$13-$D$13</f>
        <v>22.508452685692575</v>
      </c>
      <c r="R39" s="37">
        <f>$M$13-$D$13</f>
        <v>22.508452685692575</v>
      </c>
      <c r="T39" s="12"/>
      <c r="U39" s="13">
        <v>2015</v>
      </c>
      <c r="V39" s="37">
        <f t="shared" ref="V39:AA39" si="2">M39+D39</f>
        <v>26.849714417778003</v>
      </c>
      <c r="W39" s="37">
        <f t="shared" si="2"/>
        <v>27.582328641795002</v>
      </c>
      <c r="X39" s="37">
        <f t="shared" si="2"/>
        <v>29.535266328242322</v>
      </c>
      <c r="Y39" s="37">
        <f t="shared" si="2"/>
        <v>28.930890034431741</v>
      </c>
      <c r="Z39" s="37">
        <f t="shared" si="2"/>
        <v>26.288452685692576</v>
      </c>
      <c r="AA39" s="37">
        <f t="shared" si="2"/>
        <v>27.488452685692575</v>
      </c>
    </row>
    <row r="40" spans="2:27">
      <c r="B40" s="12"/>
      <c r="C40" s="13">
        <v>2016</v>
      </c>
      <c r="D40" s="37">
        <f t="shared" ref="D40:D68" si="3">$F$19</f>
        <v>4.275117068310605</v>
      </c>
      <c r="E40" s="37">
        <f t="shared" ref="E40:E68" si="4">$L$20</f>
        <v>5.0738759561024276</v>
      </c>
      <c r="F40" s="37">
        <f t="shared" ref="F40:F68" si="5">$F$26</f>
        <v>7.0268136425497483</v>
      </c>
      <c r="G40" s="37">
        <f t="shared" ref="G40:G68" si="6">$L$32</f>
        <v>6.4224373487391677</v>
      </c>
      <c r="H40" s="37">
        <f t="shared" ref="H40:H68" si="7">$U$23</f>
        <v>3.7799999999999994</v>
      </c>
      <c r="I40" s="37">
        <f ca="1">Zalozenia!$L$113</f>
        <v>4.9800000000000004</v>
      </c>
      <c r="K40" s="12"/>
      <c r="L40" s="13">
        <v>2016</v>
      </c>
      <c r="M40" s="37">
        <f ca="1">M39*(1+Zalozenia!$J11)</f>
        <v>23.59045423019343</v>
      </c>
      <c r="N40" s="37">
        <f ca="1">N39*(1+Zalozenia!$J11)</f>
        <v>23.521333056548738</v>
      </c>
      <c r="O40" s="37">
        <f ca="1">O39*(1+Zalozenia!$J11)</f>
        <v>23.521333056548738</v>
      </c>
      <c r="P40" s="37">
        <f ca="1">P39*(1+Zalozenia!$J11)</f>
        <v>23.521333056548738</v>
      </c>
      <c r="Q40" s="37">
        <f ca="1">Q39*(1+Zalozenia!$J11)</f>
        <v>23.521333056548738</v>
      </c>
      <c r="R40" s="37">
        <f ca="1">R39*(1+Zalozenia!$J11)</f>
        <v>23.521333056548738</v>
      </c>
      <c r="T40" s="12"/>
      <c r="U40" s="13">
        <v>2016</v>
      </c>
      <c r="V40" s="37">
        <f t="shared" ref="V40:V68" si="8">M40+D40</f>
        <v>27.865571298504037</v>
      </c>
      <c r="W40" s="37">
        <f t="shared" ref="W40:W68" si="9">N40+E40</f>
        <v>28.595209012651164</v>
      </c>
      <c r="X40" s="37">
        <f t="shared" ref="X40:X68" si="10">O40+F40</f>
        <v>30.548146699098485</v>
      </c>
      <c r="Y40" s="37">
        <f t="shared" ref="Y40:Y68" si="11">P40+G40</f>
        <v>29.943770405287907</v>
      </c>
      <c r="Z40" s="37">
        <f t="shared" ref="Z40:Z68" si="12">Q40+H40</f>
        <v>27.301333056548735</v>
      </c>
      <c r="AA40" s="37">
        <f t="shared" ref="AA40:AA68" si="13">R40+I40</f>
        <v>28.501333056548738</v>
      </c>
    </row>
    <row r="41" spans="2:27">
      <c r="B41" s="12"/>
      <c r="C41" s="13">
        <v>2017</v>
      </c>
      <c r="D41" s="37">
        <f t="shared" si="3"/>
        <v>4.275117068310605</v>
      </c>
      <c r="E41" s="37">
        <f t="shared" si="4"/>
        <v>5.0738759561024276</v>
      </c>
      <c r="F41" s="37">
        <f t="shared" si="5"/>
        <v>7.0268136425497483</v>
      </c>
      <c r="G41" s="37">
        <f t="shared" si="6"/>
        <v>6.4224373487391677</v>
      </c>
      <c r="H41" s="37">
        <f t="shared" si="7"/>
        <v>3.7799999999999994</v>
      </c>
      <c r="I41" s="37">
        <f ca="1">Zalozenia!$L$113</f>
        <v>4.9800000000000004</v>
      </c>
      <c r="K41" s="12"/>
      <c r="L41" s="13">
        <v>2017</v>
      </c>
      <c r="M41" s="37">
        <f ca="1">M40*(1+Zalozenia!$J12)</f>
        <v>24.652024670552134</v>
      </c>
      <c r="N41" s="37">
        <f ca="1">N40*(1+Zalozenia!$J12)</f>
        <v>24.579793044093428</v>
      </c>
      <c r="O41" s="37">
        <f ca="1">O40*(1+Zalozenia!$J12)</f>
        <v>24.579793044093428</v>
      </c>
      <c r="P41" s="37">
        <f ca="1">P40*(1+Zalozenia!$J12)</f>
        <v>24.579793044093428</v>
      </c>
      <c r="Q41" s="37">
        <f ca="1">Q40*(1+Zalozenia!$J12)</f>
        <v>24.579793044093428</v>
      </c>
      <c r="R41" s="37">
        <f ca="1">R40*(1+Zalozenia!$J12)</f>
        <v>24.579793044093428</v>
      </c>
      <c r="T41" s="12"/>
      <c r="U41" s="13">
        <v>2017</v>
      </c>
      <c r="V41" s="37">
        <f t="shared" si="8"/>
        <v>28.927141738862737</v>
      </c>
      <c r="W41" s="37">
        <f t="shared" si="9"/>
        <v>29.653669000195855</v>
      </c>
      <c r="X41" s="37">
        <f t="shared" si="10"/>
        <v>31.606606686643175</v>
      </c>
      <c r="Y41" s="37">
        <f t="shared" si="11"/>
        <v>31.002230392832594</v>
      </c>
      <c r="Z41" s="37">
        <f t="shared" si="12"/>
        <v>28.359793044093429</v>
      </c>
      <c r="AA41" s="37">
        <f t="shared" si="13"/>
        <v>29.559793044093428</v>
      </c>
    </row>
    <row r="42" spans="2:27">
      <c r="B42" s="12"/>
      <c r="C42" s="13">
        <v>2018</v>
      </c>
      <c r="D42" s="37">
        <f t="shared" si="3"/>
        <v>4.275117068310605</v>
      </c>
      <c r="E42" s="37">
        <f t="shared" si="4"/>
        <v>5.0738759561024276</v>
      </c>
      <c r="F42" s="37">
        <f t="shared" si="5"/>
        <v>7.0268136425497483</v>
      </c>
      <c r="G42" s="37">
        <f t="shared" si="6"/>
        <v>6.4224373487391677</v>
      </c>
      <c r="H42" s="37">
        <f t="shared" si="7"/>
        <v>3.7799999999999994</v>
      </c>
      <c r="I42" s="37">
        <f ca="1">Zalozenia!$L$113</f>
        <v>4.9800000000000004</v>
      </c>
      <c r="K42" s="12"/>
      <c r="L42" s="13">
        <v>2018</v>
      </c>
      <c r="M42" s="37">
        <f ca="1">M41*(1+Zalozenia!$J13)</f>
        <v>25.76136578072698</v>
      </c>
      <c r="N42" s="37">
        <f ca="1">N41*(1+Zalozenia!$J13)</f>
        <v>25.685883731077631</v>
      </c>
      <c r="O42" s="37">
        <f ca="1">O41*(1+Zalozenia!$J13)</f>
        <v>25.685883731077631</v>
      </c>
      <c r="P42" s="37">
        <f ca="1">P41*(1+Zalozenia!$J13)</f>
        <v>25.685883731077631</v>
      </c>
      <c r="Q42" s="37">
        <f ca="1">Q41*(1+Zalozenia!$J13)</f>
        <v>25.685883731077631</v>
      </c>
      <c r="R42" s="37">
        <f ca="1">R41*(1+Zalozenia!$J13)</f>
        <v>25.685883731077631</v>
      </c>
      <c r="T42" s="12"/>
      <c r="U42" s="13">
        <v>2018</v>
      </c>
      <c r="V42" s="37">
        <f t="shared" si="8"/>
        <v>30.036482849037583</v>
      </c>
      <c r="W42" s="37">
        <f t="shared" si="9"/>
        <v>30.759759687180058</v>
      </c>
      <c r="X42" s="37">
        <f t="shared" si="10"/>
        <v>32.712697373627378</v>
      </c>
      <c r="Y42" s="37">
        <f t="shared" si="11"/>
        <v>32.108321079816797</v>
      </c>
      <c r="Z42" s="37">
        <f t="shared" si="12"/>
        <v>29.465883731077632</v>
      </c>
      <c r="AA42" s="37">
        <f t="shared" si="13"/>
        <v>30.665883731077631</v>
      </c>
    </row>
    <row r="43" spans="2:27">
      <c r="B43" s="12"/>
      <c r="C43" s="13">
        <v>2019</v>
      </c>
      <c r="D43" s="37">
        <f t="shared" si="3"/>
        <v>4.275117068310605</v>
      </c>
      <c r="E43" s="37">
        <f t="shared" si="4"/>
        <v>5.0738759561024276</v>
      </c>
      <c r="F43" s="37">
        <f t="shared" si="5"/>
        <v>7.0268136425497483</v>
      </c>
      <c r="G43" s="37">
        <f t="shared" si="6"/>
        <v>6.4224373487391677</v>
      </c>
      <c r="H43" s="37">
        <f t="shared" si="7"/>
        <v>3.7799999999999994</v>
      </c>
      <c r="I43" s="37">
        <f ca="1">Zalozenia!$L$113</f>
        <v>4.9800000000000004</v>
      </c>
      <c r="K43" s="12"/>
      <c r="L43" s="13">
        <v>2019</v>
      </c>
      <c r="M43" s="37">
        <f ca="1">M42*(1+Zalozenia!$J14)</f>
        <v>26.920627240859691</v>
      </c>
      <c r="N43" s="37">
        <f ca="1">N42*(1+Zalozenia!$J14)</f>
        <v>26.841748498976123</v>
      </c>
      <c r="O43" s="37">
        <f ca="1">O42*(1+Zalozenia!$J14)</f>
        <v>26.841748498976123</v>
      </c>
      <c r="P43" s="37">
        <f ca="1">P42*(1+Zalozenia!$J14)</f>
        <v>26.841748498976123</v>
      </c>
      <c r="Q43" s="37">
        <f ca="1">Q42*(1+Zalozenia!$J14)</f>
        <v>26.841748498976123</v>
      </c>
      <c r="R43" s="37">
        <f ca="1">R42*(1+Zalozenia!$J14)</f>
        <v>26.841748498976123</v>
      </c>
      <c r="T43" s="12"/>
      <c r="U43" s="13">
        <v>2019</v>
      </c>
      <c r="V43" s="37">
        <f t="shared" si="8"/>
        <v>31.195744309170294</v>
      </c>
      <c r="W43" s="37">
        <f t="shared" si="9"/>
        <v>31.91562445507855</v>
      </c>
      <c r="X43" s="37">
        <f t="shared" si="10"/>
        <v>33.868562141525871</v>
      </c>
      <c r="Y43" s="37">
        <f t="shared" si="11"/>
        <v>33.264185847715289</v>
      </c>
      <c r="Z43" s="37">
        <f t="shared" si="12"/>
        <v>30.621748498976125</v>
      </c>
      <c r="AA43" s="37">
        <f t="shared" si="13"/>
        <v>31.821748498976124</v>
      </c>
    </row>
    <row r="44" spans="2:27">
      <c r="B44" s="12"/>
      <c r="C44" s="13">
        <v>2020</v>
      </c>
      <c r="D44" s="37">
        <f t="shared" si="3"/>
        <v>4.275117068310605</v>
      </c>
      <c r="E44" s="37">
        <f t="shared" si="4"/>
        <v>5.0738759561024276</v>
      </c>
      <c r="F44" s="37">
        <f t="shared" si="5"/>
        <v>7.0268136425497483</v>
      </c>
      <c r="G44" s="37">
        <f t="shared" si="6"/>
        <v>6.4224373487391677</v>
      </c>
      <c r="H44" s="37">
        <f t="shared" si="7"/>
        <v>3.7799999999999994</v>
      </c>
      <c r="I44" s="37">
        <f ca="1">Zalozenia!$L$113</f>
        <v>4.9800000000000004</v>
      </c>
      <c r="K44" s="12"/>
      <c r="L44" s="13">
        <v>2020</v>
      </c>
      <c r="M44" s="37">
        <f ca="1">M43*(1+Zalozenia!$J15)</f>
        <v>28.132055466698375</v>
      </c>
      <c r="N44" s="37">
        <f ca="1">N43*(1+Zalozenia!$J15)</f>
        <v>28.049627181430047</v>
      </c>
      <c r="O44" s="37">
        <f ca="1">O43*(1+Zalozenia!$J15)</f>
        <v>28.049627181430047</v>
      </c>
      <c r="P44" s="37">
        <f ca="1">P43*(1+Zalozenia!$J15)</f>
        <v>28.049627181430047</v>
      </c>
      <c r="Q44" s="37">
        <f ca="1">Q43*(1+Zalozenia!$J15)</f>
        <v>28.049627181430047</v>
      </c>
      <c r="R44" s="37">
        <f ca="1">R43*(1+Zalozenia!$J15)</f>
        <v>28.049627181430047</v>
      </c>
      <c r="T44" s="12"/>
      <c r="U44" s="13">
        <v>2020</v>
      </c>
      <c r="V44" s="37">
        <f t="shared" si="8"/>
        <v>32.407172535008982</v>
      </c>
      <c r="W44" s="37">
        <f t="shared" si="9"/>
        <v>33.123503137532474</v>
      </c>
      <c r="X44" s="37">
        <f t="shared" si="10"/>
        <v>35.076440823979794</v>
      </c>
      <c r="Y44" s="37">
        <f t="shared" si="11"/>
        <v>34.472064530169213</v>
      </c>
      <c r="Z44" s="37">
        <f t="shared" si="12"/>
        <v>31.829627181430048</v>
      </c>
      <c r="AA44" s="37">
        <f t="shared" si="13"/>
        <v>33.029627181430044</v>
      </c>
    </row>
    <row r="45" spans="2:27">
      <c r="B45" s="12"/>
      <c r="C45" s="13">
        <v>2021</v>
      </c>
      <c r="D45" s="37">
        <f t="shared" si="3"/>
        <v>4.275117068310605</v>
      </c>
      <c r="E45" s="37">
        <f t="shared" si="4"/>
        <v>5.0738759561024276</v>
      </c>
      <c r="F45" s="37">
        <f t="shared" si="5"/>
        <v>7.0268136425497483</v>
      </c>
      <c r="G45" s="37">
        <f t="shared" si="6"/>
        <v>6.4224373487391677</v>
      </c>
      <c r="H45" s="37">
        <f t="shared" si="7"/>
        <v>3.7799999999999994</v>
      </c>
      <c r="I45" s="37">
        <f ca="1">Zalozenia!$L$113</f>
        <v>4.9800000000000004</v>
      </c>
      <c r="K45" s="12"/>
      <c r="L45" s="13">
        <v>2021</v>
      </c>
      <c r="M45" s="37">
        <f ca="1">M44*(1+Zalozenia!$J16)</f>
        <v>28.83535685336583</v>
      </c>
      <c r="N45" s="37">
        <f ca="1">N44*(1+Zalozenia!$J16)</f>
        <v>28.750867860965794</v>
      </c>
      <c r="O45" s="37">
        <f ca="1">O44*(1+Zalozenia!$J16)</f>
        <v>28.750867860965794</v>
      </c>
      <c r="P45" s="37">
        <f ca="1">P44*(1+Zalozenia!$J16)</f>
        <v>28.750867860965794</v>
      </c>
      <c r="Q45" s="37">
        <f ca="1">Q44*(1+Zalozenia!$J16)</f>
        <v>28.750867860965794</v>
      </c>
      <c r="R45" s="37">
        <f ca="1">R44*(1+Zalozenia!$J16)</f>
        <v>28.750867860965794</v>
      </c>
      <c r="T45" s="12"/>
      <c r="U45" s="13">
        <v>2021</v>
      </c>
      <c r="V45" s="37">
        <f t="shared" si="8"/>
        <v>33.110473921676437</v>
      </c>
      <c r="W45" s="37">
        <f t="shared" si="9"/>
        <v>33.824743817068224</v>
      </c>
      <c r="X45" s="37">
        <f t="shared" si="10"/>
        <v>35.777681503515545</v>
      </c>
      <c r="Y45" s="37">
        <f t="shared" si="11"/>
        <v>35.173305209704964</v>
      </c>
      <c r="Z45" s="37">
        <f t="shared" si="12"/>
        <v>32.530867860965792</v>
      </c>
      <c r="AA45" s="37">
        <f t="shared" si="13"/>
        <v>33.730867860965795</v>
      </c>
    </row>
    <row r="46" spans="2:27">
      <c r="B46" s="12"/>
      <c r="C46" s="13">
        <v>2022</v>
      </c>
      <c r="D46" s="37">
        <f t="shared" si="3"/>
        <v>4.275117068310605</v>
      </c>
      <c r="E46" s="37">
        <f t="shared" si="4"/>
        <v>5.0738759561024276</v>
      </c>
      <c r="F46" s="37">
        <f t="shared" si="5"/>
        <v>7.0268136425497483</v>
      </c>
      <c r="G46" s="37">
        <f t="shared" si="6"/>
        <v>6.4224373487391677</v>
      </c>
      <c r="H46" s="37">
        <f t="shared" si="7"/>
        <v>3.7799999999999994</v>
      </c>
      <c r="I46" s="37">
        <f ca="1">Zalozenia!$L$113</f>
        <v>4.9800000000000004</v>
      </c>
      <c r="K46" s="12"/>
      <c r="L46" s="13">
        <v>2022</v>
      </c>
      <c r="M46" s="37">
        <f ca="1">M45*(1+Zalozenia!$J17)</f>
        <v>29.556240774699972</v>
      </c>
      <c r="N46" s="37">
        <f ca="1">N45*(1+Zalozenia!$J17)</f>
        <v>29.469639557489938</v>
      </c>
      <c r="O46" s="37">
        <f ca="1">O45*(1+Zalozenia!$J17)</f>
        <v>29.469639557489938</v>
      </c>
      <c r="P46" s="37">
        <f ca="1">P45*(1+Zalozenia!$J17)</f>
        <v>29.469639557489938</v>
      </c>
      <c r="Q46" s="37">
        <f ca="1">Q45*(1+Zalozenia!$J17)</f>
        <v>29.469639557489938</v>
      </c>
      <c r="R46" s="37">
        <f ca="1">R45*(1+Zalozenia!$J17)</f>
        <v>29.469639557489938</v>
      </c>
      <c r="T46" s="12"/>
      <c r="U46" s="13">
        <v>2022</v>
      </c>
      <c r="V46" s="37">
        <f t="shared" si="8"/>
        <v>33.831357843010579</v>
      </c>
      <c r="W46" s="37">
        <f t="shared" si="9"/>
        <v>34.543515513592368</v>
      </c>
      <c r="X46" s="37">
        <f t="shared" si="10"/>
        <v>36.496453200039689</v>
      </c>
      <c r="Y46" s="37">
        <f t="shared" si="11"/>
        <v>35.892076906229107</v>
      </c>
      <c r="Z46" s="37">
        <f t="shared" si="12"/>
        <v>33.249639557489935</v>
      </c>
      <c r="AA46" s="37">
        <f t="shared" si="13"/>
        <v>34.449639557489938</v>
      </c>
    </row>
    <row r="47" spans="2:27">
      <c r="B47" s="12"/>
      <c r="C47" s="13">
        <v>2023</v>
      </c>
      <c r="D47" s="37">
        <f t="shared" si="3"/>
        <v>4.275117068310605</v>
      </c>
      <c r="E47" s="37">
        <f t="shared" si="4"/>
        <v>5.0738759561024276</v>
      </c>
      <c r="F47" s="37">
        <f t="shared" si="5"/>
        <v>7.0268136425497483</v>
      </c>
      <c r="G47" s="37">
        <f t="shared" si="6"/>
        <v>6.4224373487391677</v>
      </c>
      <c r="H47" s="37">
        <f t="shared" si="7"/>
        <v>3.7799999999999994</v>
      </c>
      <c r="I47" s="37">
        <f ca="1">Zalozenia!$L$113</f>
        <v>4.9800000000000004</v>
      </c>
      <c r="K47" s="12"/>
      <c r="L47" s="13">
        <v>2023</v>
      </c>
      <c r="M47" s="37">
        <f ca="1">M46*(1+Zalozenia!$J18)</f>
        <v>30.29514679406747</v>
      </c>
      <c r="N47" s="37">
        <f ca="1">N46*(1+Zalozenia!$J18)</f>
        <v>30.206380546427184</v>
      </c>
      <c r="O47" s="37">
        <f ca="1">O46*(1+Zalozenia!$J18)</f>
        <v>30.206380546427184</v>
      </c>
      <c r="P47" s="37">
        <f ca="1">P46*(1+Zalozenia!$J18)</f>
        <v>30.206380546427184</v>
      </c>
      <c r="Q47" s="37">
        <f ca="1">Q46*(1+Zalozenia!$J18)</f>
        <v>30.206380546427184</v>
      </c>
      <c r="R47" s="37">
        <f ca="1">R46*(1+Zalozenia!$J18)</f>
        <v>30.206380546427184</v>
      </c>
      <c r="T47" s="12"/>
      <c r="U47" s="13">
        <v>2023</v>
      </c>
      <c r="V47" s="37">
        <f t="shared" si="8"/>
        <v>34.570263862378077</v>
      </c>
      <c r="W47" s="37">
        <f t="shared" si="9"/>
        <v>35.28025650252961</v>
      </c>
      <c r="X47" s="37">
        <f t="shared" si="10"/>
        <v>37.233194188976931</v>
      </c>
      <c r="Y47" s="37">
        <f t="shared" si="11"/>
        <v>36.62881789516635</v>
      </c>
      <c r="Z47" s="37">
        <f t="shared" si="12"/>
        <v>33.986380546427185</v>
      </c>
      <c r="AA47" s="37">
        <f t="shared" si="13"/>
        <v>35.186380546427188</v>
      </c>
    </row>
    <row r="48" spans="2:27">
      <c r="B48" s="12"/>
      <c r="C48" s="13">
        <v>2024</v>
      </c>
      <c r="D48" s="37">
        <f t="shared" si="3"/>
        <v>4.275117068310605</v>
      </c>
      <c r="E48" s="37">
        <f t="shared" si="4"/>
        <v>5.0738759561024276</v>
      </c>
      <c r="F48" s="37">
        <f t="shared" si="5"/>
        <v>7.0268136425497483</v>
      </c>
      <c r="G48" s="37">
        <f t="shared" si="6"/>
        <v>6.4224373487391677</v>
      </c>
      <c r="H48" s="37">
        <f t="shared" si="7"/>
        <v>3.7799999999999994</v>
      </c>
      <c r="I48" s="37">
        <f ca="1">Zalozenia!$L$113</f>
        <v>4.9800000000000004</v>
      </c>
      <c r="K48" s="12"/>
      <c r="L48" s="13">
        <v>2024</v>
      </c>
      <c r="M48" s="37">
        <f ca="1">M47*(1+Zalozenia!$J19)</f>
        <v>31.052525463919153</v>
      </c>
      <c r="N48" s="37">
        <f ca="1">N47*(1+Zalozenia!$J19)</f>
        <v>30.961540060087859</v>
      </c>
      <c r="O48" s="37">
        <f ca="1">O47*(1+Zalozenia!$J19)</f>
        <v>30.961540060087859</v>
      </c>
      <c r="P48" s="37">
        <f ca="1">P47*(1+Zalozenia!$J19)</f>
        <v>30.961540060087859</v>
      </c>
      <c r="Q48" s="37">
        <f ca="1">Q47*(1+Zalozenia!$J19)</f>
        <v>30.961540060087859</v>
      </c>
      <c r="R48" s="37">
        <f ca="1">R47*(1+Zalozenia!$J19)</f>
        <v>30.961540060087859</v>
      </c>
      <c r="T48" s="12"/>
      <c r="U48" s="13">
        <v>2024</v>
      </c>
      <c r="V48" s="37">
        <f t="shared" si="8"/>
        <v>35.32764253222976</v>
      </c>
      <c r="W48" s="37">
        <f t="shared" si="9"/>
        <v>36.03541601619029</v>
      </c>
      <c r="X48" s="37">
        <f t="shared" si="10"/>
        <v>37.98835370263761</v>
      </c>
      <c r="Y48" s="37">
        <f t="shared" si="11"/>
        <v>37.383977408827029</v>
      </c>
      <c r="Z48" s="37">
        <f t="shared" si="12"/>
        <v>34.741540060087857</v>
      </c>
      <c r="AA48" s="37">
        <f t="shared" si="13"/>
        <v>35.94154006008786</v>
      </c>
    </row>
    <row r="49" spans="2:27">
      <c r="B49" s="12"/>
      <c r="C49" s="13">
        <v>2025</v>
      </c>
      <c r="D49" s="37">
        <f t="shared" si="3"/>
        <v>4.275117068310605</v>
      </c>
      <c r="E49" s="37">
        <f t="shared" si="4"/>
        <v>5.0738759561024276</v>
      </c>
      <c r="F49" s="37">
        <f t="shared" si="5"/>
        <v>7.0268136425497483</v>
      </c>
      <c r="G49" s="37">
        <f t="shared" si="6"/>
        <v>6.4224373487391677</v>
      </c>
      <c r="H49" s="37">
        <f t="shared" si="7"/>
        <v>3.7799999999999994</v>
      </c>
      <c r="I49" s="37">
        <f ca="1">Zalozenia!$L$113</f>
        <v>4.9800000000000004</v>
      </c>
      <c r="K49" s="12"/>
      <c r="L49" s="13">
        <v>2025</v>
      </c>
      <c r="M49" s="37">
        <f ca="1">M48*(1+Zalozenia!$J20)</f>
        <v>31.82883860051713</v>
      </c>
      <c r="N49" s="37">
        <f ca="1">N48*(1+Zalozenia!$J20)</f>
        <v>31.735578561590053</v>
      </c>
      <c r="O49" s="37">
        <f ca="1">O48*(1+Zalozenia!$J20)</f>
        <v>31.735578561590053</v>
      </c>
      <c r="P49" s="37">
        <f ca="1">P48*(1+Zalozenia!$J20)</f>
        <v>31.735578561590053</v>
      </c>
      <c r="Q49" s="37">
        <f ca="1">Q48*(1+Zalozenia!$J20)</f>
        <v>31.735578561590053</v>
      </c>
      <c r="R49" s="37">
        <f ca="1">R48*(1+Zalozenia!$J20)</f>
        <v>31.735578561590053</v>
      </c>
      <c r="T49" s="12"/>
      <c r="U49" s="13">
        <v>2025</v>
      </c>
      <c r="V49" s="37">
        <f t="shared" si="8"/>
        <v>36.103955668827737</v>
      </c>
      <c r="W49" s="37">
        <f t="shared" si="9"/>
        <v>36.80945451769248</v>
      </c>
      <c r="X49" s="37">
        <f t="shared" si="10"/>
        <v>38.7623922041398</v>
      </c>
      <c r="Y49" s="37">
        <f t="shared" si="11"/>
        <v>38.158015910329219</v>
      </c>
      <c r="Z49" s="37">
        <f t="shared" si="12"/>
        <v>35.515578561590054</v>
      </c>
      <c r="AA49" s="37">
        <f t="shared" si="13"/>
        <v>36.71557856159005</v>
      </c>
    </row>
    <row r="50" spans="2:27">
      <c r="B50" s="12"/>
      <c r="C50" s="13">
        <v>2026</v>
      </c>
      <c r="D50" s="37">
        <f t="shared" si="3"/>
        <v>4.275117068310605</v>
      </c>
      <c r="E50" s="37">
        <f t="shared" si="4"/>
        <v>5.0738759561024276</v>
      </c>
      <c r="F50" s="37">
        <f t="shared" si="5"/>
        <v>7.0268136425497483</v>
      </c>
      <c r="G50" s="37">
        <f t="shared" si="6"/>
        <v>6.4224373487391677</v>
      </c>
      <c r="H50" s="37">
        <f t="shared" si="7"/>
        <v>3.7799999999999994</v>
      </c>
      <c r="I50" s="37">
        <f ca="1">Zalozenia!$L$113</f>
        <v>4.9800000000000004</v>
      </c>
      <c r="K50" s="12"/>
      <c r="L50" s="13">
        <v>2026</v>
      </c>
      <c r="M50" s="37">
        <f ca="1">M49*(1+Zalozenia!$J21)</f>
        <v>32.624559565530056</v>
      </c>
      <c r="N50" s="37">
        <f ca="1">N49*(1+Zalozenia!$J21)</f>
        <v>32.528968025629801</v>
      </c>
      <c r="O50" s="37">
        <f ca="1">O49*(1+Zalozenia!$J21)</f>
        <v>32.528968025629801</v>
      </c>
      <c r="P50" s="37">
        <f ca="1">P49*(1+Zalozenia!$J21)</f>
        <v>32.528968025629801</v>
      </c>
      <c r="Q50" s="37">
        <f ca="1">Q49*(1+Zalozenia!$J21)</f>
        <v>32.528968025629801</v>
      </c>
      <c r="R50" s="37">
        <f ca="1">R49*(1+Zalozenia!$J21)</f>
        <v>32.528968025629801</v>
      </c>
      <c r="T50" s="12"/>
      <c r="U50" s="13">
        <v>2026</v>
      </c>
      <c r="V50" s="37">
        <f t="shared" si="8"/>
        <v>36.899676633840663</v>
      </c>
      <c r="W50" s="37">
        <f t="shared" si="9"/>
        <v>37.602843981732228</v>
      </c>
      <c r="X50" s="37">
        <f t="shared" si="10"/>
        <v>39.555781668179549</v>
      </c>
      <c r="Y50" s="37">
        <f t="shared" si="11"/>
        <v>38.951405374368967</v>
      </c>
      <c r="Z50" s="37">
        <f t="shared" si="12"/>
        <v>36.308968025629802</v>
      </c>
      <c r="AA50" s="37">
        <f t="shared" si="13"/>
        <v>37.508968025629798</v>
      </c>
    </row>
    <row r="51" spans="2:27">
      <c r="B51" s="12"/>
      <c r="C51" s="13">
        <v>2027</v>
      </c>
      <c r="D51" s="37">
        <f t="shared" si="3"/>
        <v>4.275117068310605</v>
      </c>
      <c r="E51" s="37">
        <f t="shared" si="4"/>
        <v>5.0738759561024276</v>
      </c>
      <c r="F51" s="37">
        <f t="shared" si="5"/>
        <v>7.0268136425497483</v>
      </c>
      <c r="G51" s="37">
        <f t="shared" si="6"/>
        <v>6.4224373487391677</v>
      </c>
      <c r="H51" s="37">
        <f t="shared" si="7"/>
        <v>3.7799999999999994</v>
      </c>
      <c r="I51" s="37">
        <f ca="1">Zalozenia!$L$113</f>
        <v>4.9800000000000004</v>
      </c>
      <c r="K51" s="12"/>
      <c r="L51" s="13">
        <v>2027</v>
      </c>
      <c r="M51" s="37">
        <f ca="1">M50*(1+Zalozenia!$J22)</f>
        <v>33.440173554668306</v>
      </c>
      <c r="N51" s="37">
        <f ca="1">N50*(1+Zalozenia!$J22)</f>
        <v>33.342192226270541</v>
      </c>
      <c r="O51" s="37">
        <f ca="1">O50*(1+Zalozenia!$J22)</f>
        <v>33.342192226270541</v>
      </c>
      <c r="P51" s="37">
        <f ca="1">P50*(1+Zalozenia!$J22)</f>
        <v>33.342192226270541</v>
      </c>
      <c r="Q51" s="37">
        <f ca="1">Q50*(1+Zalozenia!$J22)</f>
        <v>33.342192226270541</v>
      </c>
      <c r="R51" s="37">
        <f ca="1">R50*(1+Zalozenia!$J22)</f>
        <v>33.342192226270541</v>
      </c>
      <c r="T51" s="12"/>
      <c r="U51" s="13">
        <v>2027</v>
      </c>
      <c r="V51" s="37">
        <f t="shared" si="8"/>
        <v>37.715290622978912</v>
      </c>
      <c r="W51" s="37">
        <f t="shared" si="9"/>
        <v>38.416068182372967</v>
      </c>
      <c r="X51" s="37">
        <f t="shared" si="10"/>
        <v>40.369005868820288</v>
      </c>
      <c r="Y51" s="37">
        <f t="shared" si="11"/>
        <v>39.764629575009707</v>
      </c>
      <c r="Z51" s="37">
        <f t="shared" si="12"/>
        <v>37.122192226270542</v>
      </c>
      <c r="AA51" s="37">
        <f t="shared" si="13"/>
        <v>38.322192226270545</v>
      </c>
    </row>
    <row r="52" spans="2:27">
      <c r="B52" s="12"/>
      <c r="C52" s="13">
        <v>2028</v>
      </c>
      <c r="D52" s="37">
        <f t="shared" si="3"/>
        <v>4.275117068310605</v>
      </c>
      <c r="E52" s="37">
        <f t="shared" si="4"/>
        <v>5.0738759561024276</v>
      </c>
      <c r="F52" s="37">
        <f t="shared" si="5"/>
        <v>7.0268136425497483</v>
      </c>
      <c r="G52" s="37">
        <f t="shared" si="6"/>
        <v>6.4224373487391677</v>
      </c>
      <c r="H52" s="37">
        <f t="shared" si="7"/>
        <v>3.7799999999999994</v>
      </c>
      <c r="I52" s="37">
        <f ca="1">Zalozenia!$L$113</f>
        <v>4.9800000000000004</v>
      </c>
      <c r="K52" s="12"/>
      <c r="L52" s="13">
        <v>2028</v>
      </c>
      <c r="M52" s="37">
        <f ca="1">M51*(1+Zalozenia!$J23)</f>
        <v>34.276177893535014</v>
      </c>
      <c r="N52" s="37">
        <f ca="1">N51*(1+Zalozenia!$J23)</f>
        <v>34.175747031927301</v>
      </c>
      <c r="O52" s="37">
        <f ca="1">O51*(1+Zalozenia!$J23)</f>
        <v>34.175747031927301</v>
      </c>
      <c r="P52" s="37">
        <f ca="1">P51*(1+Zalozenia!$J23)</f>
        <v>34.175747031927301</v>
      </c>
      <c r="Q52" s="37">
        <f ca="1">Q51*(1+Zalozenia!$J23)</f>
        <v>34.175747031927301</v>
      </c>
      <c r="R52" s="37">
        <f ca="1">R51*(1+Zalozenia!$J23)</f>
        <v>34.175747031927301</v>
      </c>
      <c r="T52" s="12"/>
      <c r="U52" s="13">
        <v>2028</v>
      </c>
      <c r="V52" s="37">
        <f t="shared" si="8"/>
        <v>38.55129496184562</v>
      </c>
      <c r="W52" s="37">
        <f t="shared" si="9"/>
        <v>39.249622988029728</v>
      </c>
      <c r="X52" s="37">
        <f t="shared" si="10"/>
        <v>41.202560674477049</v>
      </c>
      <c r="Y52" s="37">
        <f t="shared" si="11"/>
        <v>40.598184380666467</v>
      </c>
      <c r="Z52" s="37">
        <f t="shared" si="12"/>
        <v>37.955747031927302</v>
      </c>
      <c r="AA52" s="37">
        <f t="shared" si="13"/>
        <v>39.155747031927305</v>
      </c>
    </row>
    <row r="53" spans="2:27">
      <c r="B53" s="12"/>
      <c r="C53" s="13">
        <v>2029</v>
      </c>
      <c r="D53" s="37">
        <f t="shared" si="3"/>
        <v>4.275117068310605</v>
      </c>
      <c r="E53" s="37">
        <f t="shared" si="4"/>
        <v>5.0738759561024276</v>
      </c>
      <c r="F53" s="37">
        <f t="shared" si="5"/>
        <v>7.0268136425497483</v>
      </c>
      <c r="G53" s="37">
        <f t="shared" si="6"/>
        <v>6.4224373487391677</v>
      </c>
      <c r="H53" s="37">
        <f t="shared" si="7"/>
        <v>3.7799999999999994</v>
      </c>
      <c r="I53" s="37">
        <f ca="1">Zalozenia!$L$113</f>
        <v>4.9800000000000004</v>
      </c>
      <c r="K53" s="12"/>
      <c r="L53" s="13">
        <v>2029</v>
      </c>
      <c r="M53" s="37">
        <f ca="1">M52*(1+Zalozenia!$J24)</f>
        <v>35.133082340873386</v>
      </c>
      <c r="N53" s="37">
        <f ca="1">N52*(1+Zalozenia!$J24)</f>
        <v>35.030140707725479</v>
      </c>
      <c r="O53" s="37">
        <f ca="1">O52*(1+Zalozenia!$J24)</f>
        <v>35.030140707725479</v>
      </c>
      <c r="P53" s="37">
        <f ca="1">P52*(1+Zalozenia!$J24)</f>
        <v>35.030140707725479</v>
      </c>
      <c r="Q53" s="37">
        <f ca="1">Q52*(1+Zalozenia!$J24)</f>
        <v>35.030140707725479</v>
      </c>
      <c r="R53" s="37">
        <f ca="1">R52*(1+Zalozenia!$J24)</f>
        <v>35.030140707725479</v>
      </c>
      <c r="T53" s="12"/>
      <c r="U53" s="13">
        <v>2029</v>
      </c>
      <c r="V53" s="37">
        <f t="shared" si="8"/>
        <v>39.408199409183993</v>
      </c>
      <c r="W53" s="37">
        <f t="shared" si="9"/>
        <v>40.104016663827906</v>
      </c>
      <c r="X53" s="37">
        <f t="shared" si="10"/>
        <v>42.056954350275227</v>
      </c>
      <c r="Y53" s="37">
        <f t="shared" si="11"/>
        <v>41.452578056464645</v>
      </c>
      <c r="Z53" s="37">
        <f t="shared" si="12"/>
        <v>38.810140707725481</v>
      </c>
      <c r="AA53" s="37">
        <f t="shared" si="13"/>
        <v>40.010140707725483</v>
      </c>
    </row>
    <row r="54" spans="2:27">
      <c r="B54" s="12"/>
      <c r="C54" s="13">
        <v>2030</v>
      </c>
      <c r="D54" s="37">
        <f t="shared" si="3"/>
        <v>4.275117068310605</v>
      </c>
      <c r="E54" s="37">
        <f t="shared" si="4"/>
        <v>5.0738759561024276</v>
      </c>
      <c r="F54" s="37">
        <f t="shared" si="5"/>
        <v>7.0268136425497483</v>
      </c>
      <c r="G54" s="37">
        <f t="shared" si="6"/>
        <v>6.4224373487391677</v>
      </c>
      <c r="H54" s="37">
        <f t="shared" si="7"/>
        <v>3.7799999999999994</v>
      </c>
      <c r="I54" s="37">
        <f ca="1">Zalozenia!$L$113</f>
        <v>4.9800000000000004</v>
      </c>
      <c r="K54" s="12"/>
      <c r="L54" s="13">
        <v>2030</v>
      </c>
      <c r="M54" s="37">
        <f ca="1">M53*(1+Zalozenia!$J25)</f>
        <v>36.01140939939522</v>
      </c>
      <c r="N54" s="37">
        <f ca="1">N53*(1+Zalozenia!$J25)</f>
        <v>35.905894225418614</v>
      </c>
      <c r="O54" s="37">
        <f ca="1">O53*(1+Zalozenia!$J25)</f>
        <v>35.905894225418614</v>
      </c>
      <c r="P54" s="37">
        <f ca="1">P53*(1+Zalozenia!$J25)</f>
        <v>35.905894225418614</v>
      </c>
      <c r="Q54" s="37">
        <f ca="1">Q53*(1+Zalozenia!$J25)</f>
        <v>35.905894225418614</v>
      </c>
      <c r="R54" s="37">
        <f ca="1">R53*(1+Zalozenia!$J25)</f>
        <v>35.905894225418614</v>
      </c>
      <c r="T54" s="12"/>
      <c r="U54" s="13">
        <v>2030</v>
      </c>
      <c r="V54" s="37">
        <f t="shared" si="8"/>
        <v>40.286526467705826</v>
      </c>
      <c r="W54" s="37">
        <f t="shared" si="9"/>
        <v>40.97977018152104</v>
      </c>
      <c r="X54" s="37">
        <f t="shared" si="10"/>
        <v>42.932707867968361</v>
      </c>
      <c r="Y54" s="37">
        <f t="shared" si="11"/>
        <v>42.328331574157779</v>
      </c>
      <c r="Z54" s="37">
        <f t="shared" si="12"/>
        <v>39.685894225418615</v>
      </c>
      <c r="AA54" s="37">
        <f t="shared" si="13"/>
        <v>40.88589422541861</v>
      </c>
    </row>
    <row r="55" spans="2:27">
      <c r="B55" s="12"/>
      <c r="C55" s="13">
        <v>2031</v>
      </c>
      <c r="D55" s="37">
        <f t="shared" si="3"/>
        <v>4.275117068310605</v>
      </c>
      <c r="E55" s="37">
        <f t="shared" si="4"/>
        <v>5.0738759561024276</v>
      </c>
      <c r="F55" s="37">
        <f t="shared" si="5"/>
        <v>7.0268136425497483</v>
      </c>
      <c r="G55" s="37">
        <f t="shared" si="6"/>
        <v>6.4224373487391677</v>
      </c>
      <c r="H55" s="37">
        <f t="shared" si="7"/>
        <v>3.7799999999999994</v>
      </c>
      <c r="I55" s="37">
        <f ca="1">Zalozenia!$L$113</f>
        <v>4.9800000000000004</v>
      </c>
      <c r="K55" s="12"/>
      <c r="L55" s="13">
        <v>2031</v>
      </c>
      <c r="M55" s="37">
        <f ca="1">M54*(1+Zalozenia!$J26)</f>
        <v>36.911694634380098</v>
      </c>
      <c r="N55" s="37">
        <f ca="1">N54*(1+Zalozenia!$J26)</f>
        <v>36.803541581054077</v>
      </c>
      <c r="O55" s="37">
        <f ca="1">O54*(1+Zalozenia!$J26)</f>
        <v>36.803541581054077</v>
      </c>
      <c r="P55" s="37">
        <f ca="1">P54*(1+Zalozenia!$J26)</f>
        <v>36.803541581054077</v>
      </c>
      <c r="Q55" s="37">
        <f ca="1">Q54*(1+Zalozenia!$J26)</f>
        <v>36.803541581054077</v>
      </c>
      <c r="R55" s="37">
        <f ca="1">R54*(1+Zalozenia!$J26)</f>
        <v>36.803541581054077</v>
      </c>
      <c r="T55" s="12"/>
      <c r="U55" s="13">
        <v>2031</v>
      </c>
      <c r="V55" s="37">
        <f t="shared" si="8"/>
        <v>41.186811702690704</v>
      </c>
      <c r="W55" s="37">
        <f t="shared" si="9"/>
        <v>41.877417537156504</v>
      </c>
      <c r="X55" s="37">
        <f t="shared" si="10"/>
        <v>43.830355223603824</v>
      </c>
      <c r="Y55" s="37">
        <f t="shared" si="11"/>
        <v>43.225978929793243</v>
      </c>
      <c r="Z55" s="37">
        <f t="shared" si="12"/>
        <v>40.583541581054078</v>
      </c>
      <c r="AA55" s="37">
        <f t="shared" si="13"/>
        <v>41.783541581054081</v>
      </c>
    </row>
    <row r="56" spans="2:27">
      <c r="B56" s="12"/>
      <c r="C56" s="13">
        <v>2032</v>
      </c>
      <c r="D56" s="37">
        <f t="shared" si="3"/>
        <v>4.275117068310605</v>
      </c>
      <c r="E56" s="37">
        <f t="shared" si="4"/>
        <v>5.0738759561024276</v>
      </c>
      <c r="F56" s="37">
        <f t="shared" si="5"/>
        <v>7.0268136425497483</v>
      </c>
      <c r="G56" s="37">
        <f t="shared" si="6"/>
        <v>6.4224373487391677</v>
      </c>
      <c r="H56" s="37">
        <f t="shared" si="7"/>
        <v>3.7799999999999994</v>
      </c>
      <c r="I56" s="37">
        <f ca="1">Zalozenia!$L$113</f>
        <v>4.9800000000000004</v>
      </c>
      <c r="K56" s="12"/>
      <c r="L56" s="13">
        <v>2032</v>
      </c>
      <c r="M56" s="37">
        <f ca="1">M55*(1+Zalozenia!$J27)</f>
        <v>37.834487000239598</v>
      </c>
      <c r="N56" s="37">
        <f ca="1">N55*(1+Zalozenia!$J27)</f>
        <v>37.723630120580424</v>
      </c>
      <c r="O56" s="37">
        <f ca="1">O55*(1+Zalozenia!$J27)</f>
        <v>37.723630120580424</v>
      </c>
      <c r="P56" s="37">
        <f ca="1">P55*(1+Zalozenia!$J27)</f>
        <v>37.723630120580424</v>
      </c>
      <c r="Q56" s="37">
        <f ca="1">Q55*(1+Zalozenia!$J27)</f>
        <v>37.723630120580424</v>
      </c>
      <c r="R56" s="37">
        <f ca="1">R55*(1+Zalozenia!$J27)</f>
        <v>37.723630120580424</v>
      </c>
      <c r="T56" s="12"/>
      <c r="U56" s="13">
        <v>2032</v>
      </c>
      <c r="V56" s="37">
        <f t="shared" si="8"/>
        <v>42.109604068550205</v>
      </c>
      <c r="W56" s="37">
        <f t="shared" si="9"/>
        <v>42.797506076682851</v>
      </c>
      <c r="X56" s="37">
        <f t="shared" si="10"/>
        <v>44.750443763130171</v>
      </c>
      <c r="Y56" s="37">
        <f t="shared" si="11"/>
        <v>44.14606746931959</v>
      </c>
      <c r="Z56" s="37">
        <f t="shared" si="12"/>
        <v>41.503630120580425</v>
      </c>
      <c r="AA56" s="37">
        <f t="shared" si="13"/>
        <v>42.703630120580428</v>
      </c>
    </row>
    <row r="57" spans="2:27">
      <c r="B57" s="12"/>
      <c r="C57" s="13">
        <v>2033</v>
      </c>
      <c r="D57" s="37">
        <f t="shared" si="3"/>
        <v>4.275117068310605</v>
      </c>
      <c r="E57" s="37">
        <f t="shared" si="4"/>
        <v>5.0738759561024276</v>
      </c>
      <c r="F57" s="37">
        <f t="shared" si="5"/>
        <v>7.0268136425497483</v>
      </c>
      <c r="G57" s="37">
        <f t="shared" si="6"/>
        <v>6.4224373487391677</v>
      </c>
      <c r="H57" s="37">
        <f t="shared" si="7"/>
        <v>3.7799999999999994</v>
      </c>
      <c r="I57" s="37">
        <f ca="1">Zalozenia!$L$113</f>
        <v>4.9800000000000004</v>
      </c>
      <c r="K57" s="12"/>
      <c r="L57" s="13">
        <v>2033</v>
      </c>
      <c r="M57" s="37">
        <f ca="1">M56*(1+Zalozenia!$J28)</f>
        <v>38.780349175245583</v>
      </c>
      <c r="N57" s="37">
        <f ca="1">N56*(1+Zalozenia!$J28)</f>
        <v>38.666720873594933</v>
      </c>
      <c r="O57" s="37">
        <f ca="1">O56*(1+Zalozenia!$J28)</f>
        <v>38.666720873594933</v>
      </c>
      <c r="P57" s="37">
        <f ca="1">P56*(1+Zalozenia!$J28)</f>
        <v>38.666720873594933</v>
      </c>
      <c r="Q57" s="37">
        <f ca="1">Q56*(1+Zalozenia!$J28)</f>
        <v>38.666720873594933</v>
      </c>
      <c r="R57" s="37">
        <f ca="1">R56*(1+Zalozenia!$J28)</f>
        <v>38.666720873594933</v>
      </c>
      <c r="T57" s="12"/>
      <c r="U57" s="13">
        <v>2033</v>
      </c>
      <c r="V57" s="37">
        <f t="shared" si="8"/>
        <v>43.055466243556189</v>
      </c>
      <c r="W57" s="37">
        <f t="shared" si="9"/>
        <v>43.74059682969736</v>
      </c>
      <c r="X57" s="37">
        <f t="shared" si="10"/>
        <v>45.69353451614468</v>
      </c>
      <c r="Y57" s="37">
        <f t="shared" si="11"/>
        <v>45.089158222334099</v>
      </c>
      <c r="Z57" s="37">
        <f t="shared" si="12"/>
        <v>42.446720873594934</v>
      </c>
      <c r="AA57" s="37">
        <f t="shared" si="13"/>
        <v>43.64672087359493</v>
      </c>
    </row>
    <row r="58" spans="2:27">
      <c r="B58" s="12"/>
      <c r="C58" s="13">
        <v>2034</v>
      </c>
      <c r="D58" s="37">
        <f t="shared" si="3"/>
        <v>4.275117068310605</v>
      </c>
      <c r="E58" s="37">
        <f t="shared" si="4"/>
        <v>5.0738759561024276</v>
      </c>
      <c r="F58" s="37">
        <f t="shared" si="5"/>
        <v>7.0268136425497483</v>
      </c>
      <c r="G58" s="37">
        <f t="shared" si="6"/>
        <v>6.4224373487391677</v>
      </c>
      <c r="H58" s="37">
        <f t="shared" si="7"/>
        <v>3.7799999999999994</v>
      </c>
      <c r="I58" s="37">
        <f ca="1">Zalozenia!$L$113</f>
        <v>4.9800000000000004</v>
      </c>
      <c r="K58" s="12"/>
      <c r="L58" s="13">
        <v>2034</v>
      </c>
      <c r="M58" s="37">
        <f ca="1">M57*(1+Zalozenia!$J29)</f>
        <v>39.749857904626715</v>
      </c>
      <c r="N58" s="37">
        <f ca="1">N57*(1+Zalozenia!$J29)</f>
        <v>39.633388895434805</v>
      </c>
      <c r="O58" s="37">
        <f ca="1">O57*(1+Zalozenia!$J29)</f>
        <v>39.633388895434805</v>
      </c>
      <c r="P58" s="37">
        <f ca="1">P57*(1+Zalozenia!$J29)</f>
        <v>39.633388895434805</v>
      </c>
      <c r="Q58" s="37">
        <f ca="1">Q57*(1+Zalozenia!$J29)</f>
        <v>39.633388895434805</v>
      </c>
      <c r="R58" s="37">
        <f ca="1">R57*(1+Zalozenia!$J29)</f>
        <v>39.633388895434805</v>
      </c>
      <c r="T58" s="12"/>
      <c r="U58" s="13">
        <v>2034</v>
      </c>
      <c r="V58" s="37">
        <f t="shared" si="8"/>
        <v>44.024974972937322</v>
      </c>
      <c r="W58" s="37">
        <f t="shared" si="9"/>
        <v>44.707264851537232</v>
      </c>
      <c r="X58" s="37">
        <f t="shared" si="10"/>
        <v>46.660202537984553</v>
      </c>
      <c r="Y58" s="37">
        <f t="shared" si="11"/>
        <v>46.055826244173971</v>
      </c>
      <c r="Z58" s="37">
        <f t="shared" si="12"/>
        <v>43.413388895434807</v>
      </c>
      <c r="AA58" s="37">
        <f t="shared" si="13"/>
        <v>44.613388895434809</v>
      </c>
    </row>
    <row r="59" spans="2:27">
      <c r="B59" s="12"/>
      <c r="C59" s="13">
        <v>2035</v>
      </c>
      <c r="D59" s="37">
        <f t="shared" si="3"/>
        <v>4.275117068310605</v>
      </c>
      <c r="E59" s="37">
        <f t="shared" si="4"/>
        <v>5.0738759561024276</v>
      </c>
      <c r="F59" s="37">
        <f t="shared" si="5"/>
        <v>7.0268136425497483</v>
      </c>
      <c r="G59" s="37">
        <f t="shared" si="6"/>
        <v>6.4224373487391677</v>
      </c>
      <c r="H59" s="37">
        <f t="shared" si="7"/>
        <v>3.7799999999999994</v>
      </c>
      <c r="I59" s="37">
        <f ca="1">Zalozenia!$L$113</f>
        <v>4.9800000000000004</v>
      </c>
      <c r="K59" s="12"/>
      <c r="L59" s="13">
        <v>2035</v>
      </c>
      <c r="M59" s="37">
        <f ca="1">M58*(1+Zalozenia!$J30)</f>
        <v>40.743604352242379</v>
      </c>
      <c r="N59" s="37">
        <f ca="1">N58*(1+Zalozenia!$J30)</f>
        <v>40.624223617820675</v>
      </c>
      <c r="O59" s="37">
        <f ca="1">O58*(1+Zalozenia!$J30)</f>
        <v>40.624223617820675</v>
      </c>
      <c r="P59" s="37">
        <f ca="1">P58*(1+Zalozenia!$J30)</f>
        <v>40.624223617820675</v>
      </c>
      <c r="Q59" s="37">
        <f ca="1">Q58*(1+Zalozenia!$J30)</f>
        <v>40.624223617820675</v>
      </c>
      <c r="R59" s="37">
        <f ca="1">R58*(1+Zalozenia!$J30)</f>
        <v>40.624223617820675</v>
      </c>
      <c r="T59" s="12"/>
      <c r="U59" s="13">
        <v>2035</v>
      </c>
      <c r="V59" s="37">
        <f t="shared" si="8"/>
        <v>45.018721420552986</v>
      </c>
      <c r="W59" s="37">
        <f t="shared" si="9"/>
        <v>45.698099573923102</v>
      </c>
      <c r="X59" s="37">
        <f t="shared" si="10"/>
        <v>47.651037260370423</v>
      </c>
      <c r="Y59" s="37">
        <f t="shared" si="11"/>
        <v>47.046660966559841</v>
      </c>
      <c r="Z59" s="37">
        <f t="shared" si="12"/>
        <v>44.404223617820676</v>
      </c>
      <c r="AA59" s="37">
        <f t="shared" si="13"/>
        <v>45.604223617820679</v>
      </c>
    </row>
    <row r="60" spans="2:27">
      <c r="B60" s="12"/>
      <c r="C60" s="13">
        <v>2036</v>
      </c>
      <c r="D60" s="37">
        <f t="shared" si="3"/>
        <v>4.275117068310605</v>
      </c>
      <c r="E60" s="37">
        <f t="shared" si="4"/>
        <v>5.0738759561024276</v>
      </c>
      <c r="F60" s="37">
        <f t="shared" si="5"/>
        <v>7.0268136425497483</v>
      </c>
      <c r="G60" s="37">
        <f t="shared" si="6"/>
        <v>6.4224373487391677</v>
      </c>
      <c r="H60" s="37">
        <f t="shared" si="7"/>
        <v>3.7799999999999994</v>
      </c>
      <c r="I60" s="37">
        <f ca="1">Zalozenia!$L$113</f>
        <v>4.9800000000000004</v>
      </c>
      <c r="K60" s="12"/>
      <c r="L60" s="13">
        <v>2036</v>
      </c>
      <c r="M60" s="37">
        <f ca="1">M59*(1+Zalozenia!$J31)</f>
        <v>41.762194461048438</v>
      </c>
      <c r="N60" s="37">
        <f ca="1">N59*(1+Zalozenia!$J31)</f>
        <v>41.639829208266185</v>
      </c>
      <c r="O60" s="37">
        <f ca="1">O59*(1+Zalozenia!$J31)</f>
        <v>41.639829208266185</v>
      </c>
      <c r="P60" s="37">
        <f ca="1">P59*(1+Zalozenia!$J31)</f>
        <v>41.639829208266185</v>
      </c>
      <c r="Q60" s="37">
        <f ca="1">Q59*(1+Zalozenia!$J31)</f>
        <v>41.639829208266185</v>
      </c>
      <c r="R60" s="37">
        <f ca="1">R59*(1+Zalozenia!$J31)</f>
        <v>41.639829208266185</v>
      </c>
      <c r="T60" s="12"/>
      <c r="U60" s="13">
        <v>2036</v>
      </c>
      <c r="V60" s="37">
        <f t="shared" si="8"/>
        <v>46.037311529359044</v>
      </c>
      <c r="W60" s="37">
        <f t="shared" si="9"/>
        <v>46.713705164368612</v>
      </c>
      <c r="X60" s="37">
        <f t="shared" si="10"/>
        <v>48.666642850815933</v>
      </c>
      <c r="Y60" s="37">
        <f t="shared" si="11"/>
        <v>48.062266557005351</v>
      </c>
      <c r="Z60" s="37">
        <f t="shared" si="12"/>
        <v>45.419829208266187</v>
      </c>
      <c r="AA60" s="37">
        <f t="shared" si="13"/>
        <v>46.619829208266182</v>
      </c>
    </row>
    <row r="61" spans="2:27">
      <c r="B61" s="12"/>
      <c r="C61" s="13">
        <v>2037</v>
      </c>
      <c r="D61" s="37">
        <f t="shared" si="3"/>
        <v>4.275117068310605</v>
      </c>
      <c r="E61" s="37">
        <f t="shared" si="4"/>
        <v>5.0738759561024276</v>
      </c>
      <c r="F61" s="37">
        <f t="shared" si="5"/>
        <v>7.0268136425497483</v>
      </c>
      <c r="G61" s="37">
        <f t="shared" si="6"/>
        <v>6.4224373487391677</v>
      </c>
      <c r="H61" s="37">
        <f t="shared" si="7"/>
        <v>3.7799999999999994</v>
      </c>
      <c r="I61" s="37">
        <f ca="1">Zalozenia!$L$113</f>
        <v>4.9800000000000004</v>
      </c>
      <c r="K61" s="12"/>
      <c r="L61" s="13">
        <v>2037</v>
      </c>
      <c r="M61" s="37">
        <f ca="1">M60*(1+Zalozenia!$J32)</f>
        <v>42.806249322574644</v>
      </c>
      <c r="N61" s="37">
        <f ca="1">N60*(1+Zalozenia!$J32)</f>
        <v>42.680824938472838</v>
      </c>
      <c r="O61" s="37">
        <f ca="1">O60*(1+Zalozenia!$J32)</f>
        <v>42.680824938472838</v>
      </c>
      <c r="P61" s="37">
        <f ca="1">P60*(1+Zalozenia!$J32)</f>
        <v>42.680824938472838</v>
      </c>
      <c r="Q61" s="37">
        <f ca="1">Q60*(1+Zalozenia!$J32)</f>
        <v>42.680824938472838</v>
      </c>
      <c r="R61" s="37">
        <f ca="1">R60*(1+Zalozenia!$J32)</f>
        <v>42.680824938472838</v>
      </c>
      <c r="T61" s="12"/>
      <c r="U61" s="13">
        <v>2037</v>
      </c>
      <c r="V61" s="37">
        <f t="shared" si="8"/>
        <v>47.08136639088525</v>
      </c>
      <c r="W61" s="37">
        <f t="shared" si="9"/>
        <v>47.754700894575265</v>
      </c>
      <c r="X61" s="37">
        <f t="shared" si="10"/>
        <v>49.707638581022586</v>
      </c>
      <c r="Y61" s="37">
        <f t="shared" si="11"/>
        <v>49.103262287212004</v>
      </c>
      <c r="Z61" s="37">
        <f t="shared" si="12"/>
        <v>46.46082493847284</v>
      </c>
      <c r="AA61" s="37">
        <f t="shared" si="13"/>
        <v>47.660824938472842</v>
      </c>
    </row>
    <row r="62" spans="2:27">
      <c r="B62" s="12"/>
      <c r="C62" s="13">
        <v>2038</v>
      </c>
      <c r="D62" s="37">
        <f t="shared" si="3"/>
        <v>4.275117068310605</v>
      </c>
      <c r="E62" s="37">
        <f t="shared" si="4"/>
        <v>5.0738759561024276</v>
      </c>
      <c r="F62" s="37">
        <f t="shared" si="5"/>
        <v>7.0268136425497483</v>
      </c>
      <c r="G62" s="37">
        <f t="shared" si="6"/>
        <v>6.4224373487391677</v>
      </c>
      <c r="H62" s="37">
        <f t="shared" si="7"/>
        <v>3.7799999999999994</v>
      </c>
      <c r="I62" s="37">
        <f ca="1">Zalozenia!$L$113</f>
        <v>4.9800000000000004</v>
      </c>
      <c r="K62" s="12"/>
      <c r="L62" s="13">
        <v>2038</v>
      </c>
      <c r="M62" s="37">
        <f ca="1">M61*(1+Zalozenia!$J33)</f>
        <v>43.876405555639003</v>
      </c>
      <c r="N62" s="37">
        <f ca="1">N61*(1+Zalozenia!$J33)</f>
        <v>43.747845561934653</v>
      </c>
      <c r="O62" s="37">
        <f ca="1">O61*(1+Zalozenia!$J33)</f>
        <v>43.747845561934653</v>
      </c>
      <c r="P62" s="37">
        <f ca="1">P61*(1+Zalozenia!$J33)</f>
        <v>43.747845561934653</v>
      </c>
      <c r="Q62" s="37">
        <f ca="1">Q61*(1+Zalozenia!$J33)</f>
        <v>43.747845561934653</v>
      </c>
      <c r="R62" s="37">
        <f ca="1">R61*(1+Zalozenia!$J33)</f>
        <v>43.747845561934653</v>
      </c>
      <c r="T62" s="12"/>
      <c r="U62" s="13">
        <v>2038</v>
      </c>
      <c r="V62" s="37">
        <f t="shared" si="8"/>
        <v>48.15152262394961</v>
      </c>
      <c r="W62" s="37">
        <f t="shared" si="9"/>
        <v>48.82172151803708</v>
      </c>
      <c r="X62" s="37">
        <f t="shared" si="10"/>
        <v>50.774659204484401</v>
      </c>
      <c r="Y62" s="37">
        <f t="shared" si="11"/>
        <v>50.170282910673819</v>
      </c>
      <c r="Z62" s="37">
        <f t="shared" si="12"/>
        <v>47.527845561934654</v>
      </c>
      <c r="AA62" s="37">
        <f t="shared" si="13"/>
        <v>48.727845561934657</v>
      </c>
    </row>
    <row r="63" spans="2:27">
      <c r="B63" s="12"/>
      <c r="C63" s="13">
        <v>2039</v>
      </c>
      <c r="D63" s="37">
        <f t="shared" si="3"/>
        <v>4.275117068310605</v>
      </c>
      <c r="E63" s="37">
        <f t="shared" si="4"/>
        <v>5.0738759561024276</v>
      </c>
      <c r="F63" s="37">
        <f t="shared" si="5"/>
        <v>7.0268136425497483</v>
      </c>
      <c r="G63" s="37">
        <f t="shared" si="6"/>
        <v>6.4224373487391677</v>
      </c>
      <c r="H63" s="37">
        <f t="shared" si="7"/>
        <v>3.7799999999999994</v>
      </c>
      <c r="I63" s="37">
        <f ca="1">Zalozenia!$L$113</f>
        <v>4.9800000000000004</v>
      </c>
      <c r="K63" s="12"/>
      <c r="L63" s="13">
        <v>2039</v>
      </c>
      <c r="M63" s="37">
        <f ca="1">M62*(1+Zalozenia!$J34)</f>
        <v>44.973315694529973</v>
      </c>
      <c r="N63" s="37">
        <f ca="1">N62*(1+Zalozenia!$J34)</f>
        <v>44.841541700983015</v>
      </c>
      <c r="O63" s="37">
        <f ca="1">O62*(1+Zalozenia!$J34)</f>
        <v>44.841541700983015</v>
      </c>
      <c r="P63" s="37">
        <f ca="1">P62*(1+Zalozenia!$J34)</f>
        <v>44.841541700983015</v>
      </c>
      <c r="Q63" s="37">
        <f ca="1">Q62*(1+Zalozenia!$J34)</f>
        <v>44.841541700983015</v>
      </c>
      <c r="R63" s="37">
        <f ca="1">R62*(1+Zalozenia!$J34)</f>
        <v>44.841541700983015</v>
      </c>
      <c r="T63" s="12"/>
      <c r="U63" s="13">
        <v>2039</v>
      </c>
      <c r="V63" s="37">
        <f t="shared" si="8"/>
        <v>49.248432762840579</v>
      </c>
      <c r="W63" s="37">
        <f t="shared" si="9"/>
        <v>49.915417657085442</v>
      </c>
      <c r="X63" s="37">
        <f t="shared" si="10"/>
        <v>51.868355343532762</v>
      </c>
      <c r="Y63" s="37">
        <f t="shared" si="11"/>
        <v>51.263979049722181</v>
      </c>
      <c r="Z63" s="37">
        <f t="shared" si="12"/>
        <v>48.621541700983016</v>
      </c>
      <c r="AA63" s="37">
        <f t="shared" si="13"/>
        <v>49.821541700983019</v>
      </c>
    </row>
    <row r="64" spans="2:27">
      <c r="B64" s="12"/>
      <c r="C64" s="13">
        <v>2040</v>
      </c>
      <c r="D64" s="37">
        <f t="shared" si="3"/>
        <v>4.275117068310605</v>
      </c>
      <c r="E64" s="37">
        <f t="shared" si="4"/>
        <v>5.0738759561024276</v>
      </c>
      <c r="F64" s="37">
        <f t="shared" si="5"/>
        <v>7.0268136425497483</v>
      </c>
      <c r="G64" s="37">
        <f t="shared" si="6"/>
        <v>6.4224373487391677</v>
      </c>
      <c r="H64" s="37">
        <f t="shared" si="7"/>
        <v>3.7799999999999994</v>
      </c>
      <c r="I64" s="37">
        <f ca="1">Zalozenia!$L$113</f>
        <v>4.9800000000000004</v>
      </c>
      <c r="K64" s="12"/>
      <c r="L64" s="13">
        <v>2040</v>
      </c>
      <c r="M64" s="37">
        <f ca="1">M63*(1+Zalozenia!$J35)</f>
        <v>46.097648586893214</v>
      </c>
      <c r="N64" s="37">
        <f ca="1">N63*(1+Zalozenia!$J35)</f>
        <v>45.962580243507588</v>
      </c>
      <c r="O64" s="37">
        <f ca="1">O63*(1+Zalozenia!$J35)</f>
        <v>45.962580243507588</v>
      </c>
      <c r="P64" s="37">
        <f ca="1">P63*(1+Zalozenia!$J35)</f>
        <v>45.962580243507588</v>
      </c>
      <c r="Q64" s="37">
        <f ca="1">Q63*(1+Zalozenia!$J35)</f>
        <v>45.962580243507588</v>
      </c>
      <c r="R64" s="37">
        <f ca="1">R63*(1+Zalozenia!$J35)</f>
        <v>45.962580243507588</v>
      </c>
      <c r="T64" s="12"/>
      <c r="U64" s="13">
        <v>2040</v>
      </c>
      <c r="V64" s="37">
        <f t="shared" si="8"/>
        <v>50.372765655203821</v>
      </c>
      <c r="W64" s="37">
        <f t="shared" si="9"/>
        <v>51.036456199610015</v>
      </c>
      <c r="X64" s="37">
        <f t="shared" si="10"/>
        <v>52.989393886057336</v>
      </c>
      <c r="Y64" s="37">
        <f t="shared" si="11"/>
        <v>52.385017592246754</v>
      </c>
      <c r="Z64" s="37">
        <f t="shared" si="12"/>
        <v>49.742580243507589</v>
      </c>
      <c r="AA64" s="37">
        <f t="shared" si="13"/>
        <v>50.942580243507592</v>
      </c>
    </row>
    <row r="65" spans="2:27">
      <c r="B65" s="12"/>
      <c r="C65" s="13">
        <v>2041</v>
      </c>
      <c r="D65" s="37">
        <f t="shared" si="3"/>
        <v>4.275117068310605</v>
      </c>
      <c r="E65" s="37">
        <f t="shared" si="4"/>
        <v>5.0738759561024276</v>
      </c>
      <c r="F65" s="37">
        <f t="shared" si="5"/>
        <v>7.0268136425497483</v>
      </c>
      <c r="G65" s="37">
        <f t="shared" si="6"/>
        <v>6.4224373487391677</v>
      </c>
      <c r="H65" s="37">
        <f t="shared" si="7"/>
        <v>3.7799999999999994</v>
      </c>
      <c r="I65" s="37">
        <f ca="1">Zalozenia!$L$113</f>
        <v>4.9800000000000004</v>
      </c>
      <c r="K65" s="12"/>
      <c r="L65" s="13">
        <v>2041</v>
      </c>
      <c r="M65" s="37">
        <f ca="1">M64*(1+Zalozenia!$J36)</f>
        <v>47.250089801565544</v>
      </c>
      <c r="N65" s="37">
        <f ca="1">N64*(1+Zalozenia!$J36)</f>
        <v>47.111644749595271</v>
      </c>
      <c r="O65" s="37">
        <f ca="1">O64*(1+Zalozenia!$J36)</f>
        <v>47.111644749595271</v>
      </c>
      <c r="P65" s="37">
        <f ca="1">P64*(1+Zalozenia!$J36)</f>
        <v>47.111644749595271</v>
      </c>
      <c r="Q65" s="37">
        <f ca="1">Q64*(1+Zalozenia!$J36)</f>
        <v>47.111644749595271</v>
      </c>
      <c r="R65" s="37">
        <f ca="1">R64*(1+Zalozenia!$J36)</f>
        <v>47.111644749595271</v>
      </c>
      <c r="T65" s="12"/>
      <c r="U65" s="13">
        <v>2041</v>
      </c>
      <c r="V65" s="37">
        <f t="shared" si="8"/>
        <v>51.525206869876151</v>
      </c>
      <c r="W65" s="37">
        <f t="shared" si="9"/>
        <v>52.185520705697698</v>
      </c>
      <c r="X65" s="37">
        <f t="shared" si="10"/>
        <v>54.138458392145019</v>
      </c>
      <c r="Y65" s="37">
        <f t="shared" si="11"/>
        <v>53.534082098334437</v>
      </c>
      <c r="Z65" s="37">
        <f t="shared" si="12"/>
        <v>50.891644749595272</v>
      </c>
      <c r="AA65" s="37">
        <f t="shared" si="13"/>
        <v>52.091644749595275</v>
      </c>
    </row>
    <row r="66" spans="2:27">
      <c r="B66" s="12"/>
      <c r="C66" s="13">
        <v>2042</v>
      </c>
      <c r="D66" s="37">
        <f t="shared" si="3"/>
        <v>4.275117068310605</v>
      </c>
      <c r="E66" s="37">
        <f t="shared" si="4"/>
        <v>5.0738759561024276</v>
      </c>
      <c r="F66" s="37">
        <f t="shared" si="5"/>
        <v>7.0268136425497483</v>
      </c>
      <c r="G66" s="37">
        <f t="shared" si="6"/>
        <v>6.4224373487391677</v>
      </c>
      <c r="H66" s="37">
        <f t="shared" si="7"/>
        <v>3.7799999999999994</v>
      </c>
      <c r="I66" s="37">
        <f ca="1">Zalozenia!$L$113</f>
        <v>4.9800000000000004</v>
      </c>
      <c r="K66" s="12"/>
      <c r="L66" s="13">
        <v>2042</v>
      </c>
      <c r="M66" s="37">
        <f ca="1">M65*(1+Zalozenia!$J37)</f>
        <v>48.431342046604676</v>
      </c>
      <c r="N66" s="37">
        <f ca="1">N65*(1+Zalozenia!$J37)</f>
        <v>48.289435868335147</v>
      </c>
      <c r="O66" s="37">
        <f ca="1">O65*(1+Zalozenia!$J37)</f>
        <v>48.289435868335147</v>
      </c>
      <c r="P66" s="37">
        <f ca="1">P65*(1+Zalozenia!$J37)</f>
        <v>48.289435868335147</v>
      </c>
      <c r="Q66" s="37">
        <f ca="1">Q65*(1+Zalozenia!$J37)</f>
        <v>48.289435868335147</v>
      </c>
      <c r="R66" s="37">
        <f ca="1">R65*(1+Zalozenia!$J37)</f>
        <v>48.289435868335147</v>
      </c>
      <c r="T66" s="12"/>
      <c r="U66" s="13">
        <v>2042</v>
      </c>
      <c r="V66" s="37">
        <f t="shared" si="8"/>
        <v>52.706459114915283</v>
      </c>
      <c r="W66" s="37">
        <f t="shared" si="9"/>
        <v>53.363311824437574</v>
      </c>
      <c r="X66" s="37">
        <f t="shared" si="10"/>
        <v>55.316249510884894</v>
      </c>
      <c r="Y66" s="37">
        <f t="shared" si="11"/>
        <v>54.711873217074313</v>
      </c>
      <c r="Z66" s="37">
        <f t="shared" si="12"/>
        <v>52.069435868335148</v>
      </c>
      <c r="AA66" s="37">
        <f t="shared" si="13"/>
        <v>53.269435868335151</v>
      </c>
    </row>
    <row r="67" spans="2:27">
      <c r="B67" s="12"/>
      <c r="C67" s="13">
        <v>2043</v>
      </c>
      <c r="D67" s="37">
        <f t="shared" si="3"/>
        <v>4.275117068310605</v>
      </c>
      <c r="E67" s="37">
        <f t="shared" si="4"/>
        <v>5.0738759561024276</v>
      </c>
      <c r="F67" s="37">
        <f t="shared" si="5"/>
        <v>7.0268136425497483</v>
      </c>
      <c r="G67" s="37">
        <f t="shared" si="6"/>
        <v>6.4224373487391677</v>
      </c>
      <c r="H67" s="37">
        <f t="shared" si="7"/>
        <v>3.7799999999999994</v>
      </c>
      <c r="I67" s="37">
        <f ca="1">Zalozenia!$L$113</f>
        <v>4.9800000000000004</v>
      </c>
      <c r="K67" s="12"/>
      <c r="L67" s="13">
        <v>2043</v>
      </c>
      <c r="M67" s="37">
        <f ca="1">M66*(1+Zalozenia!$J38)</f>
        <v>49.642125597769791</v>
      </c>
      <c r="N67" s="37">
        <f ca="1">N66*(1+Zalozenia!$J38)</f>
        <v>49.496671765043523</v>
      </c>
      <c r="O67" s="37">
        <f ca="1">O66*(1+Zalozenia!$J38)</f>
        <v>49.496671765043523</v>
      </c>
      <c r="P67" s="37">
        <f ca="1">P66*(1+Zalozenia!$J38)</f>
        <v>49.496671765043523</v>
      </c>
      <c r="Q67" s="37">
        <f ca="1">Q66*(1+Zalozenia!$J38)</f>
        <v>49.496671765043523</v>
      </c>
      <c r="R67" s="37">
        <f ca="1">R66*(1+Zalozenia!$J38)</f>
        <v>49.496671765043523</v>
      </c>
      <c r="T67" s="12"/>
      <c r="U67" s="13">
        <v>2043</v>
      </c>
      <c r="V67" s="37">
        <f t="shared" si="8"/>
        <v>53.917242666080398</v>
      </c>
      <c r="W67" s="37">
        <f t="shared" si="9"/>
        <v>54.57054772114595</v>
      </c>
      <c r="X67" s="37">
        <f t="shared" si="10"/>
        <v>56.52348540759327</v>
      </c>
      <c r="Y67" s="37">
        <f t="shared" si="11"/>
        <v>55.919109113782689</v>
      </c>
      <c r="Z67" s="37">
        <f t="shared" si="12"/>
        <v>53.276671765043524</v>
      </c>
      <c r="AA67" s="37">
        <f t="shared" si="13"/>
        <v>54.47667176504352</v>
      </c>
    </row>
    <row r="68" spans="2:27">
      <c r="B68" s="43"/>
      <c r="C68" s="13">
        <v>2044</v>
      </c>
      <c r="D68" s="37">
        <f t="shared" si="3"/>
        <v>4.275117068310605</v>
      </c>
      <c r="E68" s="37">
        <f t="shared" si="4"/>
        <v>5.0738759561024276</v>
      </c>
      <c r="F68" s="37">
        <f t="shared" si="5"/>
        <v>7.0268136425497483</v>
      </c>
      <c r="G68" s="37">
        <f t="shared" si="6"/>
        <v>6.4224373487391677</v>
      </c>
      <c r="H68" s="37">
        <f t="shared" si="7"/>
        <v>3.7799999999999994</v>
      </c>
      <c r="I68" s="37">
        <f ca="1">Zalozenia!$L$113</f>
        <v>4.9800000000000004</v>
      </c>
      <c r="K68" s="43"/>
      <c r="L68" s="13">
        <v>2044</v>
      </c>
      <c r="M68" s="37">
        <f ca="1">M67*(1+Zalozenia!$J39)</f>
        <v>50.883178737714033</v>
      </c>
      <c r="N68" s="37">
        <f ca="1">N67*(1+Zalozenia!$J39)</f>
        <v>50.734088559169606</v>
      </c>
      <c r="O68" s="37">
        <f ca="1">O67*(1+Zalozenia!$J39)</f>
        <v>50.734088559169606</v>
      </c>
      <c r="P68" s="37">
        <f ca="1">P67*(1+Zalozenia!$J39)</f>
        <v>50.734088559169606</v>
      </c>
      <c r="Q68" s="37">
        <f ca="1">Q67*(1+Zalozenia!$J39)</f>
        <v>50.734088559169606</v>
      </c>
      <c r="R68" s="37">
        <f ca="1">R67*(1+Zalozenia!$J39)</f>
        <v>50.734088559169606</v>
      </c>
      <c r="T68" s="43"/>
      <c r="U68" s="13">
        <v>2044</v>
      </c>
      <c r="V68" s="37">
        <f t="shared" si="8"/>
        <v>55.15829580602464</v>
      </c>
      <c r="W68" s="37">
        <f t="shared" si="9"/>
        <v>55.807964515272033</v>
      </c>
      <c r="X68" s="37">
        <f t="shared" si="10"/>
        <v>57.760902201719354</v>
      </c>
      <c r="Y68" s="37">
        <f t="shared" si="11"/>
        <v>57.156525907908772</v>
      </c>
      <c r="Z68" s="37">
        <f t="shared" si="12"/>
        <v>54.514088559169608</v>
      </c>
      <c r="AA68" s="37">
        <f t="shared" si="13"/>
        <v>55.71408855916961</v>
      </c>
    </row>
  </sheetData>
  <mergeCells count="6">
    <mergeCell ref="T36:U36"/>
    <mergeCell ref="T37:U37"/>
    <mergeCell ref="B36:C36"/>
    <mergeCell ref="B37:C37"/>
    <mergeCell ref="K36:L36"/>
    <mergeCell ref="K37:L3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Zalozenia</vt:lpstr>
      <vt:lpstr>Obliczenia</vt:lpstr>
      <vt:lpstr>Slawek</vt:lpstr>
      <vt:lpstr>Wyliczenia.jednostkowe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lwypych</dc:creator>
  <cp:lastModifiedBy>kinkoz</cp:lastModifiedBy>
  <dcterms:created xsi:type="dcterms:W3CDTF">2014-08-14T13:49:34Z</dcterms:created>
  <dcterms:modified xsi:type="dcterms:W3CDTF">2015-03-04T13:57:05Z</dcterms:modified>
</cp:coreProperties>
</file>